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829F0508-CADA-4F39-A020-51FE220236B7}" xr6:coauthVersionLast="47" xr6:coauthVersionMax="47" xr10:uidLastSave="{00000000-0000-0000-0000-000000000000}"/>
  <bookViews>
    <workbookView xWindow="390" yWindow="390" windowWidth="12930" windowHeight="14670" xr2:uid="{00000000-000D-0000-FFFF-FFFF00000000}"/>
  </bookViews>
  <sheets>
    <sheet name="Hoja1" sheetId="1" r:id="rId1"/>
    <sheet name="WHATSAPP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4" i="2" l="1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<sst xmlns="http://schemas.openxmlformats.org/spreadsheetml/2006/main" count="1070" uniqueCount="776">
  <si>
    <t>Vivero iris 11 54527839 whatsapp y telefono -Agosto2026</t>
  </si>
  <si>
    <t xml:space="preserve"> Precios sin iva</t>
  </si>
  <si>
    <t>www.viveroiris.com.ar</t>
  </si>
  <si>
    <t xml:space="preserve">Abedul  ( Betula  alba).   </t>
  </si>
  <si>
    <t xml:space="preserve">   120-150 cm de altura E, 10 lts</t>
  </si>
  <si>
    <t xml:space="preserve">   180-210  cm  de altura   E.  20  lts</t>
  </si>
  <si>
    <t xml:space="preserve">Abelia  grandiflora.  </t>
  </si>
  <si>
    <t xml:space="preserve">   E.  4  lts</t>
  </si>
  <si>
    <t xml:space="preserve">   E.  10  lts</t>
  </si>
  <si>
    <t xml:space="preserve">   E.  15  lts</t>
  </si>
  <si>
    <t>s/stock</t>
  </si>
  <si>
    <t xml:space="preserve">   E.  20 lts </t>
  </si>
  <si>
    <t xml:space="preserve">Abelia  grandiflora  compacta  (enana).  </t>
  </si>
  <si>
    <t xml:space="preserve">   E.  10 lts </t>
  </si>
  <si>
    <t xml:space="preserve">Acacia  bayleyana  rubra.  Inj.  </t>
  </si>
  <si>
    <t xml:space="preserve">   Injertada  80  cm de altura   E.  4  lts</t>
  </si>
  <si>
    <t xml:space="preserve">   Inj.  120-150  cm.  E.  4  lts</t>
  </si>
  <si>
    <t xml:space="preserve">Acacia blanca  (Robinia pseudoacicia).  </t>
  </si>
  <si>
    <t xml:space="preserve">   150-180  cm.  E.  4  lts</t>
  </si>
  <si>
    <t xml:space="preserve">   180-210cm E. 10 lts</t>
  </si>
  <si>
    <t xml:space="preserve">    220-250cm E.. 15lts </t>
  </si>
  <si>
    <t xml:space="preserve">Acacia bola (Robinia pseudoacacia umbracuculifera).  Inj.  </t>
  </si>
  <si>
    <t xml:space="preserve">   Inj.  A  200  cm de altura,  Con  copa,  6-8  cm circunsferencia de tronco.  E.  10 lts.</t>
  </si>
  <si>
    <t xml:space="preserve">   Inj,  a  200  cm.  Con  copa,  8-10  cm  E.  15 lts.</t>
  </si>
  <si>
    <t xml:space="preserve">   inj  a   200cm    con   copa, 10-12cm circunsf. 20lts</t>
  </si>
  <si>
    <t xml:space="preserve">Acacia  casque  rouge  (Robinia  pseudoacacia).  Inj.  </t>
  </si>
  <si>
    <t xml:space="preserve">   Inj.  200cm de altura  Con  copa,  8-10  cm de circunsferencia de tronco.  E.  15 lts.</t>
  </si>
  <si>
    <t xml:space="preserve">   Inj.  Con  copa,  10-12  cm  E.  20 lts.</t>
  </si>
  <si>
    <t xml:space="preserve">Acacia  constantinopla  (Albizzia  julibrissin).  </t>
  </si>
  <si>
    <t xml:space="preserve">   con  copa,  6-8  cm de circunsferencia de tronco.  180-210 cm de altura   E. 15 lts</t>
  </si>
  <si>
    <t xml:space="preserve">   con  copa,  8-10  cm.  210-250 cm  E. 20 lts</t>
  </si>
  <si>
    <t xml:space="preserve">Acacia  dealbata  (Aromo  frances). </t>
  </si>
  <si>
    <t xml:space="preserve">   con  copa,  210-250  cm.  E.  10  lts</t>
  </si>
  <si>
    <t xml:space="preserve">   con  copa,  250  cm.  E.  20 lts</t>
  </si>
  <si>
    <t>Acacia Caven (Vachellia caven) Espinillo</t>
  </si>
  <si>
    <t xml:space="preserve">  120-150cm   E. 4lts</t>
  </si>
  <si>
    <t xml:space="preserve">  150-180cm  E.  10lts </t>
  </si>
  <si>
    <t xml:space="preserve">Acacia  floribunda. </t>
  </si>
  <si>
    <t xml:space="preserve">    180-210cm. .. E. 10lts</t>
  </si>
  <si>
    <t>Acacia frisia  (Robinia  pseudoacacia  aurea).  Inj.</t>
  </si>
  <si>
    <t xml:space="preserve">    Injertado.  Con  copa,  6-8  cm circunsferencia de tronco.  E.  10 lts.</t>
  </si>
  <si>
    <t xml:space="preserve">    Inj.  Con  copa,  8-10  cm  E.  15 lts.</t>
  </si>
  <si>
    <t xml:space="preserve"> </t>
  </si>
  <si>
    <t xml:space="preserve">   inj. Con copa  10-12cm </t>
  </si>
  <si>
    <t>Acacia Leucante</t>
  </si>
  <si>
    <t xml:space="preserve">  150-180cm E.  4lts</t>
  </si>
  <si>
    <t xml:space="preserve">  180-210cm  E.  10lts </t>
  </si>
  <si>
    <t>Acacia Longifolia</t>
  </si>
  <si>
    <t xml:space="preserve">  E. 4lts 150-180cm </t>
  </si>
  <si>
    <t xml:space="preserve">  E. 4lts 180-210cm </t>
  </si>
  <si>
    <t xml:space="preserve">  E. 10lts 210-250cm</t>
  </si>
  <si>
    <t xml:space="preserve">  E.  20lts  250-300cm </t>
  </si>
  <si>
    <t>Acacia  melanoxylon  (A.  Australiana).</t>
  </si>
  <si>
    <t xml:space="preserve">    150-180  cm de altura.  E.  4  lts</t>
  </si>
  <si>
    <t xml:space="preserve">    180-210  cm.  E.  4  lts</t>
  </si>
  <si>
    <t xml:space="preserve">    210-250 cm E10 lts</t>
  </si>
  <si>
    <t xml:space="preserve">    250-300cm E  20lts </t>
  </si>
  <si>
    <t>Acacia visco.</t>
  </si>
  <si>
    <t xml:space="preserve">   150-180  cm de altura   E.  4  lts</t>
  </si>
  <si>
    <t xml:space="preserve">   180-210  cm.  E  10  lts.</t>
  </si>
  <si>
    <t xml:space="preserve">Acanthus Mollis (Cucaracha) </t>
  </si>
  <si>
    <t xml:space="preserve">  E. 4lts </t>
  </si>
  <si>
    <t>Acer  buergerianus.</t>
  </si>
  <si>
    <t xml:space="preserve">   con  copa  4-6  cm. 210-250 cm.  E. 10 lts.</t>
  </si>
  <si>
    <t xml:space="preserve">   con  copa  8-10  cm. 210-250 cm. E.  20 lts</t>
  </si>
  <si>
    <t xml:space="preserve">Acer Nengundo </t>
  </si>
  <si>
    <t xml:space="preserve">  con copa 4-6cm circunsf. 180-210cm   E10lts </t>
  </si>
  <si>
    <t xml:space="preserve">  con copa 6-8cm circunsf. 210-250cm  E 15lts </t>
  </si>
  <si>
    <t>Acer  palmatum.</t>
  </si>
  <si>
    <t xml:space="preserve">   E.  4  lts 40cm </t>
  </si>
  <si>
    <t xml:space="preserve">   E.  10lts  80cm </t>
  </si>
  <si>
    <t>Acer  saccharinum.</t>
  </si>
  <si>
    <t xml:space="preserve">   120-150cm  x 4lts </t>
  </si>
  <si>
    <t xml:space="preserve">Acorus lemon </t>
  </si>
  <si>
    <t xml:space="preserve">   4lts </t>
  </si>
  <si>
    <t xml:space="preserve">Aclepsias   </t>
  </si>
  <si>
    <t xml:space="preserve">  E. 4lts 30cm </t>
  </si>
  <si>
    <t xml:space="preserve">  oferta comprando 10 unidades </t>
  </si>
  <si>
    <t>Agapanthus  africanus.</t>
  </si>
  <si>
    <t xml:space="preserve">   flor  azul,  E.  4  lts</t>
  </si>
  <si>
    <t xml:space="preserve">  flor azul x 10lts </t>
  </si>
  <si>
    <t xml:space="preserve">   flor  blanca  E. 4  lts</t>
  </si>
  <si>
    <t xml:space="preserve">   flor  blanca  E. 10lts </t>
  </si>
  <si>
    <t>Aguaribay  (Schinus  molle)</t>
  </si>
  <si>
    <t xml:space="preserve">   150-180  cm.  </t>
  </si>
  <si>
    <t xml:space="preserve">   180-210  cm.  </t>
  </si>
  <si>
    <t xml:space="preserve">   250-300 cm.   </t>
  </si>
  <si>
    <t>Alamos  hibrido  (Populus).</t>
  </si>
  <si>
    <t xml:space="preserve">  con  copa,  6-8  cm.  E.  10 lts.</t>
  </si>
  <si>
    <t xml:space="preserve"> con  copa,  10-12 cm.  E.  20 lts.</t>
  </si>
  <si>
    <t>Alamos  piramidal  (Populus  nigra).</t>
  </si>
  <si>
    <t xml:space="preserve">   180-210  cm.  E.  10 lts.</t>
  </si>
  <si>
    <t xml:space="preserve">   210-250  cm.  E.  15 lts.</t>
  </si>
  <si>
    <t xml:space="preserve">  250-300  cm.  E.  20 lts.</t>
  </si>
  <si>
    <t xml:space="preserve">  300-350  cm.  E.  30 lts.</t>
  </si>
  <si>
    <t>Almez (Celtis Occidentalis)</t>
  </si>
  <si>
    <t xml:space="preserve">  E. 10lts  180-210cm </t>
  </si>
  <si>
    <t xml:space="preserve">  E.  15lts   180-210cm con tronco mas grueso </t>
  </si>
  <si>
    <t xml:space="preserve">Alocacia tallo negro </t>
  </si>
  <si>
    <t xml:space="preserve"> 4 lts</t>
  </si>
  <si>
    <t>Alpinia.</t>
  </si>
  <si>
    <t xml:space="preserve">   E  4  lts</t>
  </si>
  <si>
    <t xml:space="preserve">   E.  10  lts </t>
  </si>
  <si>
    <t>Ampelopsis  veitchi.</t>
  </si>
  <si>
    <t xml:space="preserve">  100-120  cm.  E.  4  lts</t>
  </si>
  <si>
    <t>Anacahuita</t>
  </si>
  <si>
    <t xml:space="preserve">  120-150cm x 10lts </t>
  </si>
  <si>
    <t xml:space="preserve">  150-180cm x 15lts</t>
  </si>
  <si>
    <t>Azarero enano (Pittosporum nana)</t>
  </si>
  <si>
    <t xml:space="preserve">   E, 4 lts </t>
  </si>
  <si>
    <t xml:space="preserve">   E, 4 lts OFERTA 10 UNIDADES O MAS</t>
  </si>
  <si>
    <t>c/u</t>
  </si>
  <si>
    <t xml:space="preserve">   E. 10 lts </t>
  </si>
  <si>
    <t xml:space="preserve">   E.  10lts OFERTA 10 UNIDADES O MAS </t>
  </si>
  <si>
    <t>Azaleas.</t>
  </si>
  <si>
    <t xml:space="preserve">  E.  4  lts  colores  surtidos</t>
  </si>
  <si>
    <t xml:space="preserve">  E.  10  lts  colores  surtidos</t>
  </si>
  <si>
    <t xml:space="preserve">   E.  20  lts  colores  surtidos</t>
  </si>
  <si>
    <t xml:space="preserve">   E.  30  lts  colores  surtidos</t>
  </si>
  <si>
    <t xml:space="preserve">   E.  40  lts  colores  surtidos</t>
  </si>
  <si>
    <t xml:space="preserve">  E.  50  lts  colores surtidos </t>
  </si>
  <si>
    <t>Barba de chivo.  (Caesalpinia gilliesii).</t>
  </si>
  <si>
    <t xml:space="preserve">   E. 4 lts</t>
  </si>
  <si>
    <t xml:space="preserve">  E. 10 lts</t>
  </si>
  <si>
    <t>Berberis  thunbergii  atropurpúrea.</t>
  </si>
  <si>
    <t>Berberis  thunbergii  red  pillar.</t>
  </si>
  <si>
    <t xml:space="preserve">  E.  4  lts</t>
  </si>
  <si>
    <t xml:space="preserve">  E.  10  lts</t>
  </si>
  <si>
    <t>Brachychiton  populneum.</t>
  </si>
  <si>
    <t xml:space="preserve">   100-120  cm.  E.  4  lts</t>
  </si>
  <si>
    <t xml:space="preserve">   120-150  cm.  E.  10  lts</t>
  </si>
  <si>
    <t xml:space="preserve">   150-180  cm.  E.  15  lts</t>
  </si>
  <si>
    <t xml:space="preserve">    180-210 cm   E   20  lts</t>
  </si>
  <si>
    <t>Buxus  sempervirens  (Boj  buxus).</t>
  </si>
  <si>
    <t xml:space="preserve">   E.  4  lts 30cm</t>
  </si>
  <si>
    <t xml:space="preserve">   E.  10  lts 60cm </t>
  </si>
  <si>
    <t xml:space="preserve">   E.  15  lts 70-80cm </t>
  </si>
  <si>
    <t xml:space="preserve">  Bocha x 20lts</t>
  </si>
  <si>
    <t>Buxus microphilia</t>
  </si>
  <si>
    <t xml:space="preserve">  E.  4lts   </t>
  </si>
  <si>
    <t xml:space="preserve">  E.  10lts. </t>
  </si>
  <si>
    <t>Cala  (Zantedeschia  aethiopica).</t>
  </si>
  <si>
    <t xml:space="preserve">Callistemon  lanceolatus  imperiallis.  </t>
  </si>
  <si>
    <t xml:space="preserve">  E.  10  lts 100cm </t>
  </si>
  <si>
    <t>Callistemon  salignum  (melaleuca).</t>
  </si>
  <si>
    <t xml:space="preserve">   flor blanca   E. 10lts  150cm </t>
  </si>
  <si>
    <t xml:space="preserve">   flor blanca   E.  20lts  150-180cm </t>
  </si>
  <si>
    <t>Camelia  japonica.</t>
  </si>
  <si>
    <t>Caña  de  la  india  (Phyllostachis  babbusoides).</t>
  </si>
  <si>
    <t xml:space="preserve"> 160  cm.  E.  10  lts</t>
  </si>
  <si>
    <t>Caña  enana  (Pogonatherum  juncaceum).</t>
  </si>
  <si>
    <t xml:space="preserve"> E.  4  lts</t>
  </si>
  <si>
    <t xml:space="preserve"> Caña Multiplex </t>
  </si>
  <si>
    <t xml:space="preserve">  E.  10  lts </t>
  </si>
  <si>
    <t>Carex  bronzina.</t>
  </si>
  <si>
    <t>Casuarina  cunninghamiana.</t>
  </si>
  <si>
    <t xml:space="preserve">   120-150  cm.  E.  4  lts</t>
  </si>
  <si>
    <t xml:space="preserve">   180-210  cm. </t>
  </si>
  <si>
    <t xml:space="preserve">   210-250  cm.  </t>
  </si>
  <si>
    <t xml:space="preserve">   250-300  cm </t>
  </si>
  <si>
    <t xml:space="preserve">   300-350 cm </t>
  </si>
  <si>
    <t xml:space="preserve">   350-400  cm </t>
  </si>
  <si>
    <t>Catalpa  bignonioides.</t>
  </si>
  <si>
    <t xml:space="preserve">  con  copa, mide mas de 200cm de altura con  8-10  cm circunsf tronco.  E. 15 lts.</t>
  </si>
  <si>
    <t xml:space="preserve">   con  copa,  10-12  cm.  E. 20 lts.</t>
  </si>
  <si>
    <t>Ceibo.  (Erythrina crista-galli).</t>
  </si>
  <si>
    <t xml:space="preserve">   E.  10  lts 120-130cm</t>
  </si>
  <si>
    <t xml:space="preserve">   E.  15  lts 130-150cm </t>
  </si>
  <si>
    <t xml:space="preserve">  E.   20  lts   150-160cm </t>
  </si>
  <si>
    <t>Clivia.</t>
  </si>
  <si>
    <t xml:space="preserve">   E 4 lts</t>
  </si>
  <si>
    <t xml:space="preserve">   E.  10 lts</t>
  </si>
  <si>
    <t>Cina - cina.  (Parkinsonia aculeata).</t>
  </si>
  <si>
    <t xml:space="preserve">Colocacia ilustreis hoja negra </t>
  </si>
  <si>
    <t xml:space="preserve">  E.  4lts </t>
  </si>
  <si>
    <t>Corona  de  novia  (Spiraea  cantoniensis).</t>
  </si>
  <si>
    <t xml:space="preserve">   flor  blanca  doble  E.  4  lts</t>
  </si>
  <si>
    <t xml:space="preserve">   flor  blanca  doble  E.  10 lts</t>
  </si>
  <si>
    <t>Cortadeira  sellona  (Pampa  grass).</t>
  </si>
  <si>
    <t xml:space="preserve">  flor  blanca,  E.  4  lts</t>
  </si>
  <si>
    <t xml:space="preserve">  flor blanca    E10 lts</t>
  </si>
  <si>
    <t>Cotoneaster  dielsiana.</t>
  </si>
  <si>
    <t xml:space="preserve">Cotoneaster Franchetti </t>
  </si>
  <si>
    <t xml:space="preserve">  E.   10lts</t>
  </si>
  <si>
    <t>Cotoneaster  racimiflora.</t>
  </si>
  <si>
    <t>Cotoneaster serotina.</t>
  </si>
  <si>
    <t xml:space="preserve">   E.   4  lts</t>
  </si>
  <si>
    <t>Crataegus  (Pyracantha  coccinea).</t>
  </si>
  <si>
    <t xml:space="preserve">  fruto  amarillo  y  rojo  120  cm.  E.  4  lts</t>
  </si>
  <si>
    <t>Crataegus  vanhedeni  (Pyracantha  crenatoserrata.</t>
  </si>
  <si>
    <t xml:space="preserve">  100-120cm.  E.  4  lts</t>
  </si>
  <si>
    <t>Cupressocyparis  leylandi.</t>
  </si>
  <si>
    <t xml:space="preserve">    80-120cm </t>
  </si>
  <si>
    <t xml:space="preserve">  120-150cm</t>
  </si>
  <si>
    <t xml:space="preserve">  150-180cm</t>
  </si>
  <si>
    <t xml:space="preserve">   180-250cm</t>
  </si>
  <si>
    <t xml:space="preserve">Cupressocyparis Leylandi castlewelland gold </t>
  </si>
  <si>
    <t xml:space="preserve">   100-120cm </t>
  </si>
  <si>
    <t xml:space="preserve">   120-150cm   </t>
  </si>
  <si>
    <t>Cupressus  sempervirens  stricta  (Cipres  piramidal).</t>
  </si>
  <si>
    <t xml:space="preserve">   130-150   cm.  E. 10 lts</t>
  </si>
  <si>
    <t xml:space="preserve">    150-180cm   E.   10lts </t>
  </si>
  <si>
    <t xml:space="preserve">   180- 210cm   E.   10lts </t>
  </si>
  <si>
    <t xml:space="preserve">  180-210cm OFERTA COMPRANO 10 UNIDADES </t>
  </si>
  <si>
    <t>Cydonia  japónica  (Chaenomeles  lagenaria).</t>
  </si>
  <si>
    <t xml:space="preserve">  flores  color  blanco,  matizado,  rojo  y  rosado  E.  4  lts</t>
  </si>
  <si>
    <t xml:space="preserve">   flores  color  blanco,  matizado,  rojo  y  rosado  E.  10  lts</t>
  </si>
  <si>
    <t>Dianella variegata.</t>
  </si>
  <si>
    <t>.  E.  4  lts</t>
  </si>
  <si>
    <t xml:space="preserve">   E.  10  lts.</t>
  </si>
  <si>
    <t xml:space="preserve">Dietes    brasilero, grandiflora </t>
  </si>
  <si>
    <t xml:space="preserve">   E.  4  lts.</t>
  </si>
  <si>
    <t xml:space="preserve"> OFERTA X 10 UNIDADES</t>
  </si>
  <si>
    <t>Dodonea  viscosa púrpura.</t>
  </si>
  <si>
    <t xml:space="preserve">  E.  4  lts 80cm </t>
  </si>
  <si>
    <t xml:space="preserve">   E.  20lts </t>
  </si>
  <si>
    <t>Dracena  indivisa  (Cordyline  australis).</t>
  </si>
  <si>
    <t xml:space="preserve">  E. 20 lts</t>
  </si>
  <si>
    <t>Dracena  rubra  (Cordylini  australis  rubra).</t>
  </si>
  <si>
    <t xml:space="preserve">  E.  10  lts.</t>
  </si>
  <si>
    <t>Duranta  repens aurea.</t>
  </si>
  <si>
    <t xml:space="preserve">  E. 4 lts</t>
  </si>
  <si>
    <t xml:space="preserve">  flor  lila  E.  10  lts</t>
  </si>
  <si>
    <t xml:space="preserve"> OFERTA COMPRANDO 10 UNIDADES 10LTS</t>
  </si>
  <si>
    <t>Eleagnus  aurea.</t>
  </si>
  <si>
    <t xml:space="preserve">  E.   15 lts</t>
  </si>
  <si>
    <t>Eleagnus ebbingei (verde)</t>
  </si>
  <si>
    <t xml:space="preserve">  E.   4lts</t>
  </si>
  <si>
    <t xml:space="preserve">  E.  10lts </t>
  </si>
  <si>
    <t xml:space="preserve">  E   15lts </t>
  </si>
  <si>
    <t>Enamorada del muro  (Ficus  repens).</t>
  </si>
  <si>
    <t xml:space="preserve">  E.  4 lts  40-60cm </t>
  </si>
  <si>
    <t>Equisetum.</t>
  </si>
  <si>
    <t xml:space="preserve"> E. 4 lts</t>
  </si>
  <si>
    <t xml:space="preserve"> E. 4lts comprando 10 unidades </t>
  </si>
  <si>
    <t>Eucalyptus cinerea.</t>
  </si>
  <si>
    <t xml:space="preserve">  100-120 cm.  E.  4  lts</t>
  </si>
  <si>
    <t xml:space="preserve">  120-150  cm  E.  4  lts</t>
  </si>
  <si>
    <t xml:space="preserve">  150-180  cm  E.  4  lts</t>
  </si>
  <si>
    <t>Eugenia  myrtifolia.</t>
  </si>
  <si>
    <t xml:space="preserve">  150-180cm OFERTA  </t>
  </si>
  <si>
    <t xml:space="preserve">   180-210cm  Oferta</t>
  </si>
  <si>
    <t xml:space="preserve">   220-240cm  </t>
  </si>
  <si>
    <t>Euryops</t>
  </si>
  <si>
    <t>Evonymus  maculata aurea, japonica argentea y japonico aurea.</t>
  </si>
  <si>
    <t xml:space="preserve">   E. 10 lts</t>
  </si>
  <si>
    <t>Flor de cohete  (Kniphofia uvaria).</t>
  </si>
  <si>
    <t>Fresno  americano  (Fraxinus  americano).</t>
  </si>
  <si>
    <t xml:space="preserve">   con  copa,  4-6  cmde circunsferencia de tronco, mas de 200cm de altura. .  E. 10 lts.</t>
  </si>
  <si>
    <t xml:space="preserve">   con  copa,  6-8  cm.  E. 15 lts.</t>
  </si>
  <si>
    <t xml:space="preserve">   con copa,   8-10cm   E. 20 lts</t>
  </si>
  <si>
    <t xml:space="preserve">  con  copa,  10-12  cm.  E. 30 lts.</t>
  </si>
  <si>
    <t>Fresno  dorado  (Fraxinus  excelsior  aurea).</t>
  </si>
  <si>
    <t xml:space="preserve"> con copa , 6-8 cm de cicunferencia. E15 lts</t>
  </si>
  <si>
    <t xml:space="preserve"> con  copa,  8-10 cm de circunsferencia de tronco, miden mas de 200cm altura. </t>
  </si>
  <si>
    <t>Fresno  rubra  (Fraxinus  angustifolia  raywood).</t>
  </si>
  <si>
    <t xml:space="preserve"> con  copa,  6-8  cm de circunsferencia de tronco,  miden mas de 200cm altura</t>
  </si>
  <si>
    <t xml:space="preserve">  con  copa,  8-10  cm.  E. 20 lts.</t>
  </si>
  <si>
    <t xml:space="preserve">Gauras Blancas </t>
  </si>
  <si>
    <t>Ginkgo  biloba.</t>
  </si>
  <si>
    <t xml:space="preserve">  100-120  cm.  10 lts.</t>
  </si>
  <si>
    <t>Glicina  (Wisteria  sinensis).</t>
  </si>
  <si>
    <t xml:space="preserve">   E.  4  lts 120cm </t>
  </si>
  <si>
    <t>Grevillea  robusta  (Roble  sedoso).</t>
  </si>
  <si>
    <t>180-210cm   E. 10lts</t>
  </si>
  <si>
    <t xml:space="preserve">250-300cm  E.  20lts </t>
  </si>
  <si>
    <t>Guaran  Amarillo  (Tecoma  stans).</t>
  </si>
  <si>
    <t xml:space="preserve">.  E.  10  lts 180-210cm </t>
  </si>
  <si>
    <t xml:space="preserve">   E. 20 lts 210-250cm </t>
  </si>
  <si>
    <t>Hemerocallis  (Flor  de  un  dia).</t>
  </si>
  <si>
    <t xml:space="preserve"> E.  4  lts color naranja </t>
  </si>
  <si>
    <t xml:space="preserve">Hiedras verde  (Hedera). Verdes, minimas y minimas alba. </t>
  </si>
  <si>
    <t>Hibiscus</t>
  </si>
  <si>
    <t xml:space="preserve">  x 4lts 50cm</t>
  </si>
  <si>
    <t xml:space="preserve"> OFERTA COMPRANDO X 10 UNIDADES </t>
  </si>
  <si>
    <t>x</t>
  </si>
  <si>
    <t xml:space="preserve">Hortensia  (Hydrangea  macrophylla). </t>
  </si>
  <si>
    <t xml:space="preserve">   E.  10 lts    flor azul </t>
  </si>
  <si>
    <t xml:space="preserve">OFERTA X 10 UNIDADES </t>
  </si>
  <si>
    <t>Hypericum  moserianum.</t>
  </si>
  <si>
    <t>Ibira  pita  (peltophorum  dubium).</t>
  </si>
  <si>
    <t xml:space="preserve">   E.  4 lts 70-80cm </t>
  </si>
  <si>
    <t xml:space="preserve">   E  10  lts. 170cm </t>
  </si>
  <si>
    <t xml:space="preserve">   E 20 lts. 220cm</t>
  </si>
  <si>
    <t>Jacaranda  mimosifolia.</t>
  </si>
  <si>
    <t xml:space="preserve">  150-180  cm.  E.  4  lts</t>
  </si>
  <si>
    <t xml:space="preserve">  180-210  cm.  E.  10  lts</t>
  </si>
  <si>
    <t xml:space="preserve">  180-210  cm.  E.  15  lts</t>
  </si>
  <si>
    <t xml:space="preserve">  210-250 cm . E.   20 lts</t>
  </si>
  <si>
    <t>Jazmín  amarillo  (Jasminum  mezny).</t>
  </si>
  <si>
    <t xml:space="preserve">  100-120cm E.  4 lts</t>
  </si>
  <si>
    <t>Jazmín  azorico  (Jasminum  azoricum ).</t>
  </si>
  <si>
    <t>100-120 cm.  E.  4  lts</t>
  </si>
  <si>
    <t>Jazmín  chino  (Jasminum  polianthus).</t>
  </si>
  <si>
    <t xml:space="preserve">  150-180  cm.  E.  10  lts</t>
  </si>
  <si>
    <t xml:space="preserve">  OFERTA X 10LTS COMPRANDO 10 UNIDADES O MAS </t>
  </si>
  <si>
    <t>Jazmín  de  leche  (Trachelospermun  jazminoides).</t>
  </si>
  <si>
    <t xml:space="preserve">  E. 4 lts 100cm</t>
  </si>
  <si>
    <t xml:space="preserve">  OFERTA E. 4 lts 100cm COMPRANDO 10 UNIDADES O MAS</t>
  </si>
  <si>
    <t xml:space="preserve">  150-180 cm altura E. 10 lts</t>
  </si>
  <si>
    <t xml:space="preserve">  OFERTA E.10 lts 150-180cm cm COMPRANDO 10 UNIDADES O MAS</t>
  </si>
  <si>
    <t>Jazmín  del  cabo  (Gardenia  augusta ).</t>
  </si>
  <si>
    <t xml:space="preserve">.  Inj.  E.  4  lts  40cm </t>
  </si>
  <si>
    <t xml:space="preserve">   Inj.  E.  10  lts  60cm </t>
  </si>
  <si>
    <t>Jazmín  del  cielo   (Plubango  capensis).</t>
  </si>
  <si>
    <t xml:space="preserve"> E. 4 lts blanco o celeste</t>
  </si>
  <si>
    <t>Jazmín  fortuney  (Gardenia  augusta  fortuniana).</t>
  </si>
  <si>
    <t xml:space="preserve">  E.  15  lts</t>
  </si>
  <si>
    <t xml:space="preserve"> Juncus Blue  </t>
  </si>
  <si>
    <t xml:space="preserve">  E. 4lts</t>
  </si>
  <si>
    <t xml:space="preserve"> OFERTA COMPRANDO 10 UNIDADES O MAS</t>
  </si>
  <si>
    <t>Kiri.  (Paulownia tomentosa)</t>
  </si>
  <si>
    <t xml:space="preserve">  E.  4  lts.   80cm </t>
  </si>
  <si>
    <t xml:space="preserve">  E.  10  lts.  150-180cm</t>
  </si>
  <si>
    <t xml:space="preserve">  E.  15  lts   180-210cm </t>
  </si>
  <si>
    <t>Lagerstroemia  indica  arbol (Crespón).</t>
  </si>
  <si>
    <t>c/copa, colores  surtidos, 4-6  cm de circusnferencia de tronco,   mas de 200cm de altura.</t>
  </si>
  <si>
    <t>Lantana  camara.</t>
  </si>
  <si>
    <t>Lantana  montevidensis.</t>
  </si>
  <si>
    <t>Lapacho blanco  (Tabebuia)</t>
  </si>
  <si>
    <t xml:space="preserve">  E. 10 lts 100cm Injertado </t>
  </si>
  <si>
    <t xml:space="preserve">  E. 15 lts inj.</t>
  </si>
  <si>
    <t>Lapacho  amarillo  (Tabebuia).</t>
  </si>
  <si>
    <t xml:space="preserve">  E.  4  lts 60cm</t>
  </si>
  <si>
    <t xml:space="preserve">  E.  10  lts 150-180cm</t>
  </si>
  <si>
    <t xml:space="preserve">  E.  15 lts</t>
  </si>
  <si>
    <t>Lapacho  rosado  (Tabebuia).</t>
  </si>
  <si>
    <t xml:space="preserve">  E.  10  lts  150-180cm </t>
  </si>
  <si>
    <t xml:space="preserve">  E.  10  lts 150-180cm x 5 UNIDADES OFERTA </t>
  </si>
  <si>
    <t>Laurel  comestible  (Laurus  nobilis).</t>
  </si>
  <si>
    <t>Laurel  del  flor  (Nerium  oleander).</t>
  </si>
  <si>
    <t xml:space="preserve">  E.  4  lts 70cm rosado, blanco y rojo</t>
  </si>
  <si>
    <t xml:space="preserve">  E.  10 lts  110cm rojo  </t>
  </si>
  <si>
    <t xml:space="preserve">  E.  15  lts 130cm blanco  y rosado </t>
  </si>
  <si>
    <t xml:space="preserve">  E.  20  lts 170cm rosado </t>
  </si>
  <si>
    <t xml:space="preserve">  E.  30  lts 180-210cm</t>
  </si>
  <si>
    <t>Lavanda  angustifolia  (Lavanda  spica)  (Alhucema)</t>
  </si>
  <si>
    <t xml:space="preserve">  E. 10   lts</t>
  </si>
  <si>
    <t>Lavanda  dentata.</t>
  </si>
  <si>
    <t xml:space="preserve">Lengua de suegra (Dracena trifasciata)  verde y aurea </t>
  </si>
  <si>
    <t xml:space="preserve"> Ligustro Aurea</t>
  </si>
  <si>
    <t xml:space="preserve">   Inj.  a  200  cm.  con  copa,  6-8  cm de circunsferencia de tronco 15 lts.</t>
  </si>
  <si>
    <t xml:space="preserve">   Inj.  a  200  cm.  con  copa,  8-10  cm.  E. 20 lts.</t>
  </si>
  <si>
    <t xml:space="preserve">   Inj.  a  200  cm.  con  copa,  10-12  cm.  E. 30 lts.</t>
  </si>
  <si>
    <t>Ligustro  verde  (Ligustrum  lucidum).</t>
  </si>
  <si>
    <t xml:space="preserve">   con  copa,  6-8  cm.  E.  10 lts</t>
  </si>
  <si>
    <t xml:space="preserve">  con  copa,  8-10  cm.  E.  15 lts</t>
  </si>
  <si>
    <t>Lila (syringa Vulgaris)</t>
  </si>
  <si>
    <t xml:space="preserve">   con copa E.. 15 lts</t>
  </si>
  <si>
    <t xml:space="preserve">   con copa E.. 20 lts</t>
  </si>
  <si>
    <t>Liquidambar styraciflua</t>
  </si>
  <si>
    <t xml:space="preserve">  120-150cm alt</t>
  </si>
  <si>
    <t xml:space="preserve">  150-180  cm alt</t>
  </si>
  <si>
    <t xml:space="preserve">  180-210cm   </t>
  </si>
  <si>
    <t xml:space="preserve">  210-250cm </t>
  </si>
  <si>
    <t xml:space="preserve">Liriope  muscardi, aureo y verde </t>
  </si>
  <si>
    <t xml:space="preserve">   E.  4  lts </t>
  </si>
  <si>
    <t>Madreselva  rosada  (Lonicera  caprifolium  belgicae ).</t>
  </si>
  <si>
    <t xml:space="preserve">   150-180  cm   E.  10lts </t>
  </si>
  <si>
    <t xml:space="preserve">  OFERTA 10 UNIDADES  E. 10LTS  150CM</t>
  </si>
  <si>
    <t>Magnolia  grandiflora</t>
  </si>
  <si>
    <t xml:space="preserve">   E.  10lts  </t>
  </si>
  <si>
    <t xml:space="preserve">Melaleuca </t>
  </si>
  <si>
    <t xml:space="preserve">  E.  10 lts 150cm </t>
  </si>
  <si>
    <t xml:space="preserve">  E.  20 lts  150-180cm </t>
  </si>
  <si>
    <t>Miscanthus  gracillium.</t>
  </si>
  <si>
    <t>Myoporum  (transparente siempre verde).</t>
  </si>
  <si>
    <t xml:space="preserve"> E. 4 lts 60cm </t>
  </si>
  <si>
    <t>Miscanthus  sinensis  variegata.</t>
  </si>
  <si>
    <t>Monstera</t>
  </si>
  <si>
    <t xml:space="preserve">  E.  4lts</t>
  </si>
  <si>
    <t xml:space="preserve">Muhlenbergia Capilaris </t>
  </si>
  <si>
    <t xml:space="preserve">  E.  4 lts </t>
  </si>
  <si>
    <t>Nandina  doméstica.</t>
  </si>
  <si>
    <t xml:space="preserve">E, 4 lts </t>
  </si>
  <si>
    <t>E. 10 lts</t>
  </si>
  <si>
    <t>E. 15 lts</t>
  </si>
  <si>
    <t>Nandina  doméstica  Firepower.</t>
  </si>
  <si>
    <t>Nolina  (Beaucarnea recurvata)</t>
  </si>
  <si>
    <t xml:space="preserve">  E.  4 lts</t>
  </si>
  <si>
    <t xml:space="preserve">   E.  7 lts</t>
  </si>
  <si>
    <t xml:space="preserve">  E.  10 lts</t>
  </si>
  <si>
    <t>Olea  texanum  (Ligustrum  texanum).</t>
  </si>
  <si>
    <t xml:space="preserve">  E.  4lts  40cm</t>
  </si>
  <si>
    <t xml:space="preserve">   E.  10  lts 160cm OFERTA</t>
  </si>
  <si>
    <t xml:space="preserve">   E.  20 lts  150-160cm</t>
  </si>
  <si>
    <t>Olea  texanum  aurea  (Ligustrum  texanum  aurea ).</t>
  </si>
  <si>
    <t xml:space="preserve">   E.  4  lts 40cm</t>
  </si>
  <si>
    <t xml:space="preserve">  E.  10 lts  160cm OFERTA</t>
  </si>
  <si>
    <t xml:space="preserve">   E.  20 lts  150cm</t>
  </si>
  <si>
    <t>Olivetta  aurea  (Ligustrum  ovalifolium  aureo).</t>
  </si>
  <si>
    <t xml:space="preserve">  E.  10 lts </t>
  </si>
  <si>
    <t>Ophiopogon  (pasto  ingles).</t>
  </si>
  <si>
    <t xml:space="preserve">  E. 4 lts x 50 unidades OFERTA </t>
  </si>
  <si>
    <t>Oreja de elefante (Alocacias)</t>
  </si>
  <si>
    <t xml:space="preserve">  E. 5 lts</t>
  </si>
  <si>
    <t xml:space="preserve">  E,  20  lts</t>
  </si>
  <si>
    <t>Ombú  (Phytolacca  dioica).</t>
  </si>
  <si>
    <t xml:space="preserve">   60 cm E. 4 lts</t>
  </si>
  <si>
    <t xml:space="preserve">   60- 80  cm.  E.  10 lts</t>
  </si>
  <si>
    <t xml:space="preserve">   80-100  cm.  E.  15 lts</t>
  </si>
  <si>
    <t xml:space="preserve"> Palmera Cycas Revoluta</t>
  </si>
  <si>
    <t xml:space="preserve">  E. 30 lts </t>
  </si>
  <si>
    <t xml:space="preserve">  E. 65  lts </t>
  </si>
  <si>
    <t xml:space="preserve">  E.  110 lts </t>
  </si>
  <si>
    <t>Palmera Pindó  (Arecastrum  romanzoffianum).</t>
  </si>
  <si>
    <t xml:space="preserve">  E.   4 lts  50cm</t>
  </si>
  <si>
    <t xml:space="preserve">  E.  10  lts  180cm </t>
  </si>
  <si>
    <t xml:space="preserve">  E.   30lts 250cm</t>
  </si>
  <si>
    <t xml:space="preserve"> 250-300cm de altura     CULTIVADAS EN LA PROV. BS.AS.</t>
  </si>
  <si>
    <t>Palmera Phoenix  canariensis.</t>
  </si>
  <si>
    <t xml:space="preserve">   E. 10lts  </t>
  </si>
  <si>
    <t xml:space="preserve">   E  15lts </t>
  </si>
  <si>
    <t>Palmera Phoenix Robellini</t>
  </si>
  <si>
    <t xml:space="preserve">  E 10 Lts</t>
  </si>
  <si>
    <t xml:space="preserve">  E. 15 lts</t>
  </si>
  <si>
    <t>Palmera Seafortia</t>
  </si>
  <si>
    <t xml:space="preserve">  E. 10 lts 80cm </t>
  </si>
  <si>
    <t xml:space="preserve">  E. 15 lts 100cm </t>
  </si>
  <si>
    <t xml:space="preserve">  E. 20 lts 120cm </t>
  </si>
  <si>
    <t>Palmera Washingtonia  filifera.</t>
  </si>
  <si>
    <t xml:space="preserve">   E.  10  lts  60cm</t>
  </si>
  <si>
    <t>Palo  borracho  rosado  (Chorisia  speciosa).</t>
  </si>
  <si>
    <t xml:space="preserve">  con  copa  E.  10  lts</t>
  </si>
  <si>
    <t xml:space="preserve">Panicum Virgatum </t>
  </si>
  <si>
    <t xml:space="preserve">  E. 4 lts </t>
  </si>
  <si>
    <t>Papiros  (Cyperus  papyrus).</t>
  </si>
  <si>
    <t xml:space="preserve">  E  10  lts. 200cm </t>
  </si>
  <si>
    <t>Parasol de la china (Firmiana simplex)</t>
  </si>
  <si>
    <t xml:space="preserve">  E.  20lts </t>
  </si>
  <si>
    <t>Paspalum  Haumani</t>
  </si>
  <si>
    <t xml:space="preserve">   10  lts.60cm </t>
  </si>
  <si>
    <t>Pasto  palmeras  (Setaria  poiretiana).</t>
  </si>
  <si>
    <t>Pennisetum  alopecuroides  (Cola  de  zorro).</t>
  </si>
  <si>
    <t>Pennisetum  rupelli  (Cola  de  zorro  rosada).</t>
  </si>
  <si>
    <t>Pennisetum  setaceum  rubrum  (Cola  de  zorro  rubra).</t>
  </si>
  <si>
    <t>Pennisetum  villosum  (Cola  de  zorro  blanca).</t>
  </si>
  <si>
    <t>Pezuña  de  vaca  (bauhinia flores   blanca y purpura).</t>
  </si>
  <si>
    <t xml:space="preserve"> varillon  4 lts. 120-140cm</t>
  </si>
  <si>
    <t xml:space="preserve">  con  copa  10  lts. 180cm </t>
  </si>
  <si>
    <t xml:space="preserve">  con  copa  15  lts.</t>
  </si>
  <si>
    <t xml:space="preserve">Philodendron Misionero </t>
  </si>
  <si>
    <t xml:space="preserve">  E..4lts </t>
  </si>
  <si>
    <t>Phormium  tenax  (Formio  verde).</t>
  </si>
  <si>
    <t>Phormium  tenax  atropurpurea  (Formio  rubra).</t>
  </si>
  <si>
    <t xml:space="preserve"> E. 10 lts </t>
  </si>
  <si>
    <t>Phormium  tenax  atropurpurea  compacto  (Formio  rubra  enano).</t>
  </si>
  <si>
    <t>Phormium  tenax  bronceado  (Formio  bronce).</t>
  </si>
  <si>
    <t xml:space="preserve">   E, 10 lts</t>
  </si>
  <si>
    <t>Phormium  tenax  marginata  alba  (Formio  disciplinado).</t>
  </si>
  <si>
    <t>Phormium  tenax  marginata  alba  compacto (Formio  disciplinado  enano).</t>
  </si>
  <si>
    <t>Phormium  tenax  sundwner (formio rosado).</t>
  </si>
  <si>
    <t>Phormium  tenax  tom  thum.</t>
  </si>
  <si>
    <t>Photinia  frasseri.</t>
  </si>
  <si>
    <t xml:space="preserve">  E 10 lts 100cm </t>
  </si>
  <si>
    <t xml:space="preserve">  E 15 lts 140-150cm </t>
  </si>
  <si>
    <t xml:space="preserve">  E 20 lts 180cm </t>
  </si>
  <si>
    <t xml:space="preserve">  E 30 lts  200cm </t>
  </si>
  <si>
    <t>Pinus  elliotti</t>
  </si>
  <si>
    <t xml:space="preserve">   80-100  cm.  E.  4 lts.</t>
  </si>
  <si>
    <t xml:space="preserve">  100-120  cm.  E.  10 lts.</t>
  </si>
  <si>
    <t xml:space="preserve">  120-150 cm alt.</t>
  </si>
  <si>
    <t xml:space="preserve">  150-180 cm alt.</t>
  </si>
  <si>
    <t>Pittosporum  toriba.</t>
  </si>
  <si>
    <t>Pittosporum  toriba  wheeleri  (Azarero  enano).</t>
  </si>
  <si>
    <t xml:space="preserve">  E. 4 lts OFERTA COMPRANDO 10 UNIDADES O MAS</t>
  </si>
  <si>
    <t xml:space="preserve">  E. 10lts OFERTA COMPRANDO 10 UNIDADES O MAS</t>
  </si>
  <si>
    <t>Plátano  (Platanus  acerifolia).</t>
  </si>
  <si>
    <t xml:space="preserve">  6-8 cm circunsferencia de tronco, altura180cm</t>
  </si>
  <si>
    <t xml:space="preserve">  8-10 cm circ. 210cm </t>
  </si>
  <si>
    <t>Prunus pissardi.</t>
  </si>
  <si>
    <t xml:space="preserve">   E.  10  lts 180cmde altura arbolito</t>
  </si>
  <si>
    <t xml:space="preserve">   E.  15  lts  210cm  de altura arbolito</t>
  </si>
  <si>
    <t xml:space="preserve">   E.  10 lts 100cm arbusto </t>
  </si>
  <si>
    <t xml:space="preserve">   E.  15  lts 120cm arbusto </t>
  </si>
  <si>
    <t xml:space="preserve"> Rayito de sol Flor roja o blanca </t>
  </si>
  <si>
    <t>Retama  (Spartium).</t>
  </si>
  <si>
    <t xml:space="preserve">  4  lts.</t>
  </si>
  <si>
    <t xml:space="preserve">  10 lts</t>
  </si>
  <si>
    <t xml:space="preserve">Rhus sucedanea </t>
  </si>
  <si>
    <t xml:space="preserve">   100-120  cm.  E.  4  lts.</t>
  </si>
  <si>
    <t xml:space="preserve">   210-250cm </t>
  </si>
  <si>
    <t>Rosa  banksiae  (Rosa  baensiana).</t>
  </si>
  <si>
    <t xml:space="preserve">  flores  amarillas  y  blancas  E.  4  lts</t>
  </si>
  <si>
    <t xml:space="preserve">ROSA ENREDADERA  envasado 200-220cm </t>
  </si>
  <si>
    <t>ROSA PIE BAJO S. PEDRO  envasado</t>
  </si>
  <si>
    <t>ROSA PIE ALTO  envasado</t>
  </si>
  <si>
    <t>ROSA PIE BAJO R. NEGRO  envasado</t>
  </si>
  <si>
    <t>Ruellia.</t>
  </si>
  <si>
    <t>Ruscus.  (Aculeatus).</t>
  </si>
  <si>
    <t xml:space="preserve">  E. 10 lts OFERTA</t>
  </si>
  <si>
    <t>Romero.</t>
  </si>
  <si>
    <t>OFERTA COMPRANDO 10 UNIDADES X 4LTS</t>
  </si>
  <si>
    <t>Sansevieria (lengua de suegra- espada San Jorge) aurea o verde</t>
  </si>
  <si>
    <t xml:space="preserve">   E. 4  lts</t>
  </si>
  <si>
    <t xml:space="preserve">  OFERTA 10 UNIDADES  E. 4lts</t>
  </si>
  <si>
    <t>Santa  Rita  (Bougainvillea  glabra).</t>
  </si>
  <si>
    <t xml:space="preserve">  100-120cm  cm.  E.  4  lts</t>
  </si>
  <si>
    <t>Santolina.  (Chamaecyparissus).</t>
  </si>
  <si>
    <t>Sauce  lloron  (Salix  babilonica).</t>
  </si>
  <si>
    <t xml:space="preserve">   con  copa,  4-6  cm.  E.  10 lts. 200-220cm </t>
  </si>
  <si>
    <t xml:space="preserve">   con  copa,  6-8  cm.  E.  15 lts. 200-220cm </t>
  </si>
  <si>
    <t xml:space="preserve">   con  copa, 8-10 cm.  E.  20 lts. 200-220cm </t>
  </si>
  <si>
    <t>Salvias Guaranitica  / leucanthas  / wendy / farinacea</t>
  </si>
  <si>
    <t>Sen  de  campo  (Senna  corymbosa).</t>
  </si>
  <si>
    <t xml:space="preserve">  120-150 cm  E.  4 lts</t>
  </si>
  <si>
    <t xml:space="preserve">   150-180 cm  E.  10 lts</t>
  </si>
  <si>
    <t>Stipas</t>
  </si>
  <si>
    <t>Strelitzia  nicolai  (Flor  del  pajaro blanca).</t>
  </si>
  <si>
    <t xml:space="preserve">    100-120  cm.  E.  4 lts.</t>
  </si>
  <si>
    <t xml:space="preserve">    120-150  cm.  E.  10 lts.</t>
  </si>
  <si>
    <t xml:space="preserve">    150-180  cm  E, 20 lts</t>
  </si>
  <si>
    <t xml:space="preserve">   180cm,   2 plantas por maceta x 60lts</t>
  </si>
  <si>
    <t>Strelitzia  reginae  (Flor  del  pajaro).</t>
  </si>
  <si>
    <t>Tamarisco  (Tamarix  ramosissima).</t>
  </si>
  <si>
    <t>Taxodium  Distichum  (Cipres  calvo).</t>
  </si>
  <si>
    <t xml:space="preserve"> 120-150  cm. </t>
  </si>
  <si>
    <t xml:space="preserve">  150-180  cm. </t>
  </si>
  <si>
    <t xml:space="preserve">  180-210 cm.  .</t>
  </si>
  <si>
    <t>Tencrium fruticans</t>
  </si>
  <si>
    <t xml:space="preserve">  E. 4lts  100-120cm </t>
  </si>
  <si>
    <t xml:space="preserve">  E.  10lts 150-180cm </t>
  </si>
  <si>
    <t>Thevetia peruviana</t>
  </si>
  <si>
    <t xml:space="preserve">  100-120cm   </t>
  </si>
  <si>
    <t xml:space="preserve">   150-180cm </t>
  </si>
  <si>
    <t>Tilia  moltkei  (tilo).</t>
  </si>
  <si>
    <t xml:space="preserve">   con  copa,  6-8  cm de circusnferencia de tronco, la copa nace a los 2mts.  E.  10 lts.</t>
  </si>
  <si>
    <t xml:space="preserve">  con  copa,  10-12  cm.  E.  20 lts</t>
  </si>
  <si>
    <t xml:space="preserve">  con  copa,  12-14  cm.  E.  30 lts</t>
  </si>
  <si>
    <t>Timbo  (Enterolobium contortisiliquum).</t>
  </si>
  <si>
    <t xml:space="preserve">  4lts 100-120cm</t>
  </si>
  <si>
    <t xml:space="preserve">  10lts  120-150cm</t>
  </si>
  <si>
    <t xml:space="preserve">  15lts  150-180cm</t>
  </si>
  <si>
    <t xml:space="preserve">   20lts  180-210cm </t>
  </si>
  <si>
    <t>Tipa  (Tipuana  tipu).</t>
  </si>
  <si>
    <t xml:space="preserve"> varillon    E.  4  lts</t>
  </si>
  <si>
    <t xml:space="preserve">  E.  10 lts 180-210cm </t>
  </si>
  <si>
    <t>Tulbaghia</t>
  </si>
  <si>
    <t xml:space="preserve"> OFERTA X 10 UNIDADES X 4LTS </t>
  </si>
  <si>
    <t>Verbenas Bonarensis</t>
  </si>
  <si>
    <t xml:space="preserve">Viburnum odoratissimum </t>
  </si>
  <si>
    <t xml:space="preserve">  E4lts</t>
  </si>
  <si>
    <t xml:space="preserve">  E 10lts </t>
  </si>
  <si>
    <t xml:space="preserve">Viburnum suspensus </t>
  </si>
  <si>
    <t>Viburnum  tinus  (Laurentino).</t>
  </si>
  <si>
    <t xml:space="preserve">   E.  10  lts 80cm</t>
  </si>
  <si>
    <t xml:space="preserve">   E.  15  lts 120cm  </t>
  </si>
  <si>
    <t xml:space="preserve">  E.  20  lts 130-140cm </t>
  </si>
  <si>
    <t>Viburnum  tinus  compacto  (Laurentino  enano).</t>
  </si>
  <si>
    <t xml:space="preserve">   E. 10 lts.</t>
  </si>
  <si>
    <t xml:space="preserve">Vinca  major.  </t>
  </si>
  <si>
    <t xml:space="preserve">  4lts  </t>
  </si>
  <si>
    <t xml:space="preserve">Vinca  major  variegata.  </t>
  </si>
  <si>
    <t xml:space="preserve">   4 lts</t>
  </si>
  <si>
    <t>Westringia fruticosa</t>
  </si>
  <si>
    <t xml:space="preserve"> Yucca verde </t>
  </si>
  <si>
    <t xml:space="preserve">  E.  4 lts. </t>
  </si>
  <si>
    <t xml:space="preserve">  E.  10lts</t>
  </si>
  <si>
    <t xml:space="preserve">Zephyranthes flor blanca </t>
  </si>
  <si>
    <t>FRUTALES</t>
  </si>
  <si>
    <t>ALMENDRO 180-210 cm alt.</t>
  </si>
  <si>
    <t>ARANDANO 40CM ALT.</t>
  </si>
  <si>
    <t>AVELLANO  120-150 CM  envasado</t>
  </si>
  <si>
    <t xml:space="preserve">BANANEROS 100 CM </t>
  </si>
  <si>
    <t>CASTAÑOS  120-150 CM  envasado</t>
  </si>
  <si>
    <t>CEREZAS Napolitano de fruta  120-150 CM  envasado</t>
  </si>
  <si>
    <t>CEREZO DE FLOR  Sakura 100CM  flor rosa/doble</t>
  </si>
  <si>
    <t>CIRUELAS  120- 150 CM  envasado</t>
  </si>
  <si>
    <t>MANDARINA</t>
  </si>
  <si>
    <t>LIMON CUATRO ESTACIONES  130cm</t>
  </si>
  <si>
    <t>NARANJA OMBLIGO - JUGO   100cm</t>
  </si>
  <si>
    <t xml:space="preserve">POMELO ROSADO - BLANCO  100cm </t>
  </si>
  <si>
    <t xml:space="preserve">Kinoto 60cm </t>
  </si>
  <si>
    <t>DAMASCOS-DAMASCAS  150-180 cm  envasado</t>
  </si>
  <si>
    <t>DURAZNO 150-180cm  envasado</t>
  </si>
  <si>
    <t xml:space="preserve">PALTAS 60cm de semilla NO SON INJERTADAS. </t>
  </si>
  <si>
    <t>HIGOS negros o verdes 120-150 cm  envasado</t>
  </si>
  <si>
    <t>KAKIS 100cm  envasado</t>
  </si>
  <si>
    <t>MANZANOS  120-150 cm  envasado</t>
  </si>
  <si>
    <t>MEMBRILLOS  180-250 cm  envasado</t>
  </si>
  <si>
    <t>NOGAL EUROPEO  180-210 cm  envasado</t>
  </si>
  <si>
    <t xml:space="preserve">NOGAL DE PECAN 180CM semilla envasado </t>
  </si>
  <si>
    <t xml:space="preserve">NOGAL PECAN 210cm  semilla envasado </t>
  </si>
  <si>
    <t>PELON  150-180 cm  envasado</t>
  </si>
  <si>
    <t>PELON  180-250cm envasado</t>
  </si>
  <si>
    <t>GRANADOS  120-150 cm  envasado</t>
  </si>
  <si>
    <t>PERAS ASIATICA  150-180 cm  envasado</t>
  </si>
  <si>
    <t>PERA DE FLOR 150-180CM, no da frutos</t>
  </si>
  <si>
    <t>VID  PARRA  180-210cm   envasado</t>
  </si>
  <si>
    <t xml:space="preserve">GUINDOS 150CM </t>
  </si>
  <si>
    <t xml:space="preserve">NISPEROS 120-150CM </t>
  </si>
  <si>
    <t xml:space="preserve">OLIVOS  arbequina 100cm </t>
  </si>
  <si>
    <t>Manzano de flor (no da frutos)</t>
  </si>
  <si>
    <t xml:space="preserve">  Insumos. </t>
  </si>
  <si>
    <t xml:space="preserve">Tierra abonada especial  25dcm cubicos </t>
  </si>
  <si>
    <t xml:space="preserve">Chips, cortezas de pino x 25dcm cubicos  </t>
  </si>
  <si>
    <t xml:space="preserve">tutores madera 170cm   </t>
  </si>
  <si>
    <t xml:space="preserve">barrera antihormiga ecologica plastica  </t>
  </si>
  <si>
    <t xml:space="preserve">barrera antihormiga esponja x 1mt  </t>
  </si>
  <si>
    <t xml:space="preserve">fertilizante bolsa por 1kg.  </t>
  </si>
  <si>
    <t xml:space="preserve">sulfato de hierrox 1kg  </t>
  </si>
  <si>
    <t xml:space="preserve">sulfato de hierro x 1/2kg  </t>
  </si>
  <si>
    <t xml:space="preserve">sombrero para hormiguicida  </t>
  </si>
  <si>
    <t xml:space="preserve">hormiguicida granulado bolsa x 750grs </t>
  </si>
  <si>
    <t xml:space="preserve">Tela antihelada 300cm ancho por metro   </t>
  </si>
  <si>
    <t xml:space="preserve">Tela Geotextil antimaleza 170cm de ancho, por metro </t>
  </si>
  <si>
    <t xml:space="preserve">Protector de tronco  </t>
  </si>
  <si>
    <t>PRODUCTO</t>
  </si>
  <si>
    <t>TEXTO PARA COPIAR Y PEGAR EN WHATSAPP</t>
  </si>
  <si>
    <t>Abedul ( Betula alba)</t>
  </si>
  <si>
    <t>Abelia grandiflora</t>
  </si>
  <si>
    <t>Abelia grandiflora compacta (enana)</t>
  </si>
  <si>
    <t>Acacia bayleyana rubra. Inj</t>
  </si>
  <si>
    <t>Acacia blanca (Robinia pseudoacicia)</t>
  </si>
  <si>
    <t>Acacia bola (Robinia pseudoacacia umbracuculifera). Inj</t>
  </si>
  <si>
    <t>Acacia casque rouge (Robinia pseudoacacia). Inj</t>
  </si>
  <si>
    <t>Acacia constantinopla (Albizzia julibrissin)</t>
  </si>
  <si>
    <t>Acacia dealbata (Aromo frances)</t>
  </si>
  <si>
    <t>Acacia floribunda</t>
  </si>
  <si>
    <t>Acacia frisia (Robinia pseudoacacia aurea). Inj</t>
  </si>
  <si>
    <t>Acacia melanoxylon (A. Australiana)</t>
  </si>
  <si>
    <t>Acacia visco</t>
  </si>
  <si>
    <t>Acanthus Mollis (Cucaracha)</t>
  </si>
  <si>
    <t>Acer buergerianus</t>
  </si>
  <si>
    <t>Acer Nengundo</t>
  </si>
  <si>
    <t>Acer palmatum</t>
  </si>
  <si>
    <t>Acer saccharinum</t>
  </si>
  <si>
    <t>Acorus lemon</t>
  </si>
  <si>
    <t>Aclepsias</t>
  </si>
  <si>
    <t>Agapanthus africanus</t>
  </si>
  <si>
    <t>Aguaribay (Schinus molle)</t>
  </si>
  <si>
    <t>Alamos hibrido (Populus)</t>
  </si>
  <si>
    <t>Alamos piramidal (Populus nigra)</t>
  </si>
  <si>
    <t>Alocacia tallo negro</t>
  </si>
  <si>
    <t>Alpinia</t>
  </si>
  <si>
    <t>Ampelopsis veitchi</t>
  </si>
  <si>
    <t>Azaleas</t>
  </si>
  <si>
    <t>Barba de chivo. (Caesalpinia gilliesii)</t>
  </si>
  <si>
    <t>Berberis thunbergii atropurpúrea</t>
  </si>
  <si>
    <t>Berberis thunbergii red pillar</t>
  </si>
  <si>
    <t>Brachychiton populneum</t>
  </si>
  <si>
    <t>Buxus sempervirens (Boj buxus)</t>
  </si>
  <si>
    <t>Cala (Zantedeschia aethiopica)</t>
  </si>
  <si>
    <t>Callistemon lanceolatus imperiallis</t>
  </si>
  <si>
    <t>Callistemon salignum (melaleuca)</t>
  </si>
  <si>
    <t>Camelia japonica</t>
  </si>
  <si>
    <t>Caña de la india (Phyllostachis babbusoides)</t>
  </si>
  <si>
    <t>Caña enana (Pogonatherum juncaceum)</t>
  </si>
  <si>
    <t>Carex bronzina</t>
  </si>
  <si>
    <t>Casuarina cunninghamiana</t>
  </si>
  <si>
    <t>Catalpa bignonioides</t>
  </si>
  <si>
    <t>Ceibo. (Erythrina crista-galli)</t>
  </si>
  <si>
    <t>Clivia</t>
  </si>
  <si>
    <t>Cina - cina. (Parkinsonia aculeata)</t>
  </si>
  <si>
    <t>Corona de novia (Spiraea cantoniensis)</t>
  </si>
  <si>
    <t>Cortadeira sellona (Pampa grass)</t>
  </si>
  <si>
    <t>Cotoneaster dielsiana</t>
  </si>
  <si>
    <t>Cotoneaster Franchetti</t>
  </si>
  <si>
    <t>Cotoneaster racimiflora</t>
  </si>
  <si>
    <t>Cotoneaster serotina</t>
  </si>
  <si>
    <t>Crataegus (Pyracantha coccinea)</t>
  </si>
  <si>
    <t>Crataegus vanhedeni (Pyracantha crenatoserrata</t>
  </si>
  <si>
    <t>Cupressocyparis leylandi</t>
  </si>
  <si>
    <t>Cupressocyparis Leylandi castlewelland gold</t>
  </si>
  <si>
    <t>Cupressus sempervirens stricta (Cipres piramidal)</t>
  </si>
  <si>
    <t>Cydonia japónica (Chaenomeles lagenaria)</t>
  </si>
  <si>
    <t>Dianella variegata</t>
  </si>
  <si>
    <t>Dietes brasilero, grandiflora</t>
  </si>
  <si>
    <t>Dodonea viscosa púrpura</t>
  </si>
  <si>
    <t>Dracena indivisa (Cordyline australis)</t>
  </si>
  <si>
    <t>Dracena rubra (Cordylini australis rubra)</t>
  </si>
  <si>
    <t>Duranta repens aurea</t>
  </si>
  <si>
    <t>Eleagnus aurea</t>
  </si>
  <si>
    <t>Enamorada del muro (Ficus repens)</t>
  </si>
  <si>
    <t>Equisetum</t>
  </si>
  <si>
    <t>Eucalyptus cinerea</t>
  </si>
  <si>
    <t>Eugenia myrtifolia</t>
  </si>
  <si>
    <t>Evonymus maculata aurea, japonica argentea y japonico aurea</t>
  </si>
  <si>
    <t>Flor de cohete (Kniphofia uvaria)</t>
  </si>
  <si>
    <t>Fresno americano (Fraxinus americano)</t>
  </si>
  <si>
    <t>Fresno dorado (Fraxinus excelsior aurea)</t>
  </si>
  <si>
    <t>Fresno rubra (Fraxinus angustifolia raywood)</t>
  </si>
  <si>
    <t>Gauras Blancas</t>
  </si>
  <si>
    <t>Ginkgo biloba</t>
  </si>
  <si>
    <t>Glicina (Wisteria sinensis)</t>
  </si>
  <si>
    <t>Grevillea robusta (Roble sedoso)</t>
  </si>
  <si>
    <t>Guaran Amarillo (Tecoma stans)</t>
  </si>
  <si>
    <t>Hemerocallis (Flor de un dia)</t>
  </si>
  <si>
    <t>Hortensia (Hydrangea macrophylla)</t>
  </si>
  <si>
    <t>Hypericum moserianum</t>
  </si>
  <si>
    <t>Ibira pita (peltophorum dubium)</t>
  </si>
  <si>
    <t>Jacaranda mimosifolia</t>
  </si>
  <si>
    <t>Jazmín amarillo (Jasminum mezny)</t>
  </si>
  <si>
    <t>Jazmín azorico (Jasminum azoricum )</t>
  </si>
  <si>
    <t>Jazmín chino (Jasminum polianthus)</t>
  </si>
  <si>
    <t>Jazmín de leche (Trachelospermun jazminoides)</t>
  </si>
  <si>
    <t>Jazmín del cabo (Gardenia augusta )</t>
  </si>
  <si>
    <t>Jazmín del cielo (Plubango capensis)</t>
  </si>
  <si>
    <t>Jazmín fortuney (Gardenia augusta fortuniana)</t>
  </si>
  <si>
    <t>Kiri. (Paulownia tomentosa)</t>
  </si>
  <si>
    <t>Lagerstroemia indica arbol (Crespón)</t>
  </si>
  <si>
    <t>Lantana camara</t>
  </si>
  <si>
    <t>Lapacho blanco (Tabebuia)</t>
  </si>
  <si>
    <t>Lapacho rosado (Tabebuia)</t>
  </si>
  <si>
    <t>Laurel comestible (Laurus nobilis)</t>
  </si>
  <si>
    <t>Laurel del flor (Nerium oleander)</t>
  </si>
  <si>
    <t>Lavanda angustifolia (Lavanda spica) (Alhucema)</t>
  </si>
  <si>
    <t>Lavanda dentata</t>
  </si>
  <si>
    <t>Lengua de suegra (Dracena trifasciata) verde y aurea</t>
  </si>
  <si>
    <t>Ligustro verde (Ligustrum lucidum)</t>
  </si>
  <si>
    <t>Liriope muscardi y verde</t>
  </si>
  <si>
    <t>Madreselva rosada (Lonicera caprifolium belgicae )</t>
  </si>
  <si>
    <t>Magnolia grandiflora</t>
  </si>
  <si>
    <t>Melaleuca</t>
  </si>
  <si>
    <t>Miscanthus gracillium</t>
  </si>
  <si>
    <t>Myoporum (transparente siempre verde)</t>
  </si>
  <si>
    <t>Miscanthus sinensis variegata</t>
  </si>
  <si>
    <t>Muhlenbergia Capilaris</t>
  </si>
  <si>
    <t>Nandina doméstica</t>
  </si>
  <si>
    <t>Nandina doméstica Firepower</t>
  </si>
  <si>
    <t>Nolina (Beaucarnea recurvata)</t>
  </si>
  <si>
    <t>Olea texanum aurea (Ligustrum texanum aurea )</t>
  </si>
  <si>
    <t>Olivetta aurea (Ligustrum ovalifolium aureo)</t>
  </si>
  <si>
    <t>Ophiopogon (pasto ingles)</t>
  </si>
  <si>
    <t>Ombú (Phytolacca dioica)</t>
  </si>
  <si>
    <t>Palmera Pindó (Arecastrum romanzoffianum)</t>
  </si>
  <si>
    <t>Palmera Phoenix canariensis</t>
  </si>
  <si>
    <t>Palmera Washingtonia filifera</t>
  </si>
  <si>
    <t>Palo borracho rosado (Chorisia speciosa)</t>
  </si>
  <si>
    <t>Panicum Virgatum</t>
  </si>
  <si>
    <t>Papiros (Cyperus papyrus)</t>
  </si>
  <si>
    <t>Paspalum Haumani</t>
  </si>
  <si>
    <t>Pasto palmeras (Setaria poiretiana)</t>
  </si>
  <si>
    <t>Pennisetum alopecuroides (Cola de zorro)</t>
  </si>
  <si>
    <t>Pennisetum rupelli (Cola de zorro rosada)</t>
  </si>
  <si>
    <t>Pennisetum setaceum rubrum (Cola de zorro rubra)</t>
  </si>
  <si>
    <t>Pennisetum villosum (Cola de zorro blanca)</t>
  </si>
  <si>
    <t>Pezuña de vaca (bauhinia flores blanca y purpura)</t>
  </si>
  <si>
    <t>Phormium tenax (Formio verde)</t>
  </si>
  <si>
    <t>Phormium tenax atropurpurea (Formio rubra)</t>
  </si>
  <si>
    <t>Phormium tenax atropurpurea compacto (Formio rubra enano)</t>
  </si>
  <si>
    <t>Phormium tenax bronceado (Formio bronce)</t>
  </si>
  <si>
    <t>Phormium tenax marginata alba (Formio disciplinado)</t>
  </si>
  <si>
    <t>Phormium tenax marginata alba compacto (Formio disciplinado enano)</t>
  </si>
  <si>
    <t>Phormium tenax sundwner (formio rosado)</t>
  </si>
  <si>
    <t>Phormium tenax tom thum</t>
  </si>
  <si>
    <t>Photinia frasseri</t>
  </si>
  <si>
    <t>Pinus elliotti</t>
  </si>
  <si>
    <t>Pittosporum toriba</t>
  </si>
  <si>
    <t>Pittosporum toriba wheeleri (Azarero enano)</t>
  </si>
  <si>
    <t>Plátano (Platanus acerifolia)</t>
  </si>
  <si>
    <t>Prunus pissardi</t>
  </si>
  <si>
    <t>Retama (Spartium)</t>
  </si>
  <si>
    <t>Rhus sucedanea</t>
  </si>
  <si>
    <t>Rosa banksiae (Rosa baensiana)</t>
  </si>
  <si>
    <t>Ruellia</t>
  </si>
  <si>
    <t>Ruscus. (Aculeatus)</t>
  </si>
  <si>
    <t>Romero</t>
  </si>
  <si>
    <t>Santa Rita (Bougainvillea glabra)</t>
  </si>
  <si>
    <t>Santolina. (Chamaecyparissus)</t>
  </si>
  <si>
    <t>Sauce lloron (Salix babilonica)</t>
  </si>
  <si>
    <t>Salvias Guaranitica / leucanthas / wendy / farinacea</t>
  </si>
  <si>
    <t>Sen de campo (Senna corymbosa)</t>
  </si>
  <si>
    <t>Strelitzia nicolai (Flor del pajaro blanca)</t>
  </si>
  <si>
    <t>Strelitzia reginae (Flor del pajaro)</t>
  </si>
  <si>
    <t>Tamarisco (Tamarix ramosissima)</t>
  </si>
  <si>
    <t>Taxodium Distichum (Cipres calvo)</t>
  </si>
  <si>
    <t>Tilia moltkei (tilo)</t>
  </si>
  <si>
    <t>Tipa (Tipuana tipu)</t>
  </si>
  <si>
    <t>Viburnum odoratissimum</t>
  </si>
  <si>
    <t>Viburnum tinus (Laurentino)</t>
  </si>
  <si>
    <t>Viburnum tinus compacto (Laurentino enano)</t>
  </si>
  <si>
    <t>Vinca major</t>
  </si>
  <si>
    <t>Vinca major variegata</t>
  </si>
  <si>
    <t>Zephyranthes flor blanca</t>
  </si>
  <si>
    <t xml:space="preserve">🌱 Vivero iris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</si>
</sst>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35">
    <xf numFmtId="0" fontId="0" fillId="0" borderId="0" xfId="0"/>
    <xf numFmtId="49" fontId="2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0" xfId="0" applyFont="1" applyFill="1"/>
    <xf numFmtId="0" fontId="2" fillId="2" borderId="1" xfId="0" applyFont="1" applyFill="1" applyBorder="1"/>
    <xf numFmtId="0" fontId="5" fillId="2" borderId="1" xfId="0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0" fillId="3" borderId="0" xfId="0" applyFill="1"/>
    <xf numFmtId="0" fontId="5" fillId="2" borderId="3" xfId="0" applyFont="1" applyFill="1" applyBorder="1"/>
    <xf numFmtId="0" fontId="0" fillId="2" borderId="3" xfId="0" applyFill="1" applyBorder="1"/>
    <xf numFmtId="164" fontId="5" fillId="2" borderId="4" xfId="0" applyNumberFormat="1" applyFont="1" applyFill="1" applyBorder="1"/>
    <xf numFmtId="164" fontId="5" fillId="4" borderId="4" xfId="0" applyNumberFormat="1" applyFont="1" applyFill="1" applyBorder="1"/>
    <xf numFmtId="164" fontId="5" fillId="3" borderId="4" xfId="0" applyNumberFormat="1" applyFont="1" applyFill="1" applyBorder="1"/>
    <xf numFmtId="164" fontId="5" fillId="2" borderId="3" xfId="0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5" xfId="0" applyFill="1" applyBorder="1"/>
    <xf numFmtId="0" fontId="0" fillId="3" borderId="5" xfId="0" applyFill="1" applyBorder="1"/>
    <xf numFmtId="165" fontId="6" fillId="3" borderId="1" xfId="1" applyNumberFormat="1" applyFont="1" applyFill="1" applyBorder="1"/>
    <xf numFmtId="165" fontId="6" fillId="0" borderId="1" xfId="1" applyNumberFormat="1" applyFont="1" applyBorder="1"/>
    <xf numFmtId="165" fontId="6" fillId="4" borderId="1" xfId="1" applyNumberFormat="1" applyFont="1" applyFill="1" applyBorder="1"/>
    <xf numFmtId="165" fontId="6" fillId="0" borderId="0" xfId="1" applyNumberFormat="1" applyFont="1"/>
    <xf numFmtId="0" fontId="7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2" borderId="0" xfId="0" applyFill="1"/>
    <xf numFmtId="165" fontId="6" fillId="2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iveroiri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4"/>
  <sheetViews>
    <sheetView tabSelected="1" workbookViewId="0">
      <selection activeCell="A3" sqref="A3"/>
    </sheetView>
  </sheetViews>
  <sheetFormatPr baseColWidth="10" defaultRowHeight="18.75" x14ac:dyDescent="0.3"/>
  <cols>
    <col min="1" max="1" width="84.140625" customWidth="1"/>
    <col min="2" max="2" width="0.28515625" customWidth="1"/>
    <col min="3" max="3" width="11.42578125" hidden="1" customWidth="1"/>
    <col min="4" max="4" width="15" style="26" customWidth="1"/>
    <col min="5" max="5" width="6.85546875" customWidth="1"/>
  </cols>
  <sheetData>
    <row r="1" spans="1:5" x14ac:dyDescent="0.3">
      <c r="D1" s="28"/>
    </row>
    <row r="2" spans="1:5" x14ac:dyDescent="0.3">
      <c r="D2" s="28"/>
    </row>
    <row r="3" spans="1:5" x14ac:dyDescent="0.3">
      <c r="D3" s="28"/>
    </row>
    <row r="4" spans="1:5" x14ac:dyDescent="0.3">
      <c r="D4" s="28"/>
    </row>
    <row r="5" spans="1:5" x14ac:dyDescent="0.3">
      <c r="A5" s="1" t="s">
        <v>0</v>
      </c>
      <c r="C5" s="15"/>
      <c r="D5" s="25"/>
      <c r="E5" s="21"/>
    </row>
    <row r="6" spans="1:5" x14ac:dyDescent="0.3">
      <c r="A6" s="1" t="s">
        <v>1</v>
      </c>
      <c r="C6" s="16"/>
      <c r="E6" s="21"/>
    </row>
    <row r="7" spans="1:5" x14ac:dyDescent="0.3">
      <c r="A7" s="2" t="s">
        <v>2</v>
      </c>
      <c r="C7" s="16"/>
      <c r="E7" s="21"/>
    </row>
    <row r="8" spans="1:5" x14ac:dyDescent="0.3">
      <c r="A8" s="3" t="s">
        <v>3</v>
      </c>
      <c r="C8" s="16"/>
      <c r="E8" s="21"/>
    </row>
    <row r="9" spans="1:5" x14ac:dyDescent="0.3">
      <c r="A9" s="4" t="s">
        <v>4</v>
      </c>
      <c r="C9" s="17"/>
      <c r="D9" s="26">
        <v>39072</v>
      </c>
      <c r="E9" s="22"/>
    </row>
    <row r="10" spans="1:5" x14ac:dyDescent="0.3">
      <c r="A10" s="5" t="s">
        <v>5</v>
      </c>
      <c r="C10" s="17"/>
      <c r="D10" s="26">
        <v>109890</v>
      </c>
      <c r="E10" s="21"/>
    </row>
    <row r="11" spans="1:5" x14ac:dyDescent="0.3">
      <c r="A11" s="3" t="s">
        <v>6</v>
      </c>
      <c r="C11" s="17"/>
      <c r="D11" s="26">
        <v>0</v>
      </c>
      <c r="E11" s="21"/>
    </row>
    <row r="12" spans="1:5" x14ac:dyDescent="0.3">
      <c r="A12" s="5" t="s">
        <v>7</v>
      </c>
      <c r="C12" s="17"/>
      <c r="D12" s="26">
        <v>12232</v>
      </c>
      <c r="E12" s="21"/>
    </row>
    <row r="13" spans="1:5" x14ac:dyDescent="0.3">
      <c r="A13" s="5" t="s">
        <v>8</v>
      </c>
      <c r="C13" s="17"/>
      <c r="D13" s="26">
        <v>27000</v>
      </c>
      <c r="E13" s="21"/>
    </row>
    <row r="14" spans="1:5" x14ac:dyDescent="0.3">
      <c r="A14" s="5" t="s">
        <v>9</v>
      </c>
      <c r="C14" s="17"/>
      <c r="D14" s="26">
        <v>36500</v>
      </c>
      <c r="E14" s="21" t="s">
        <v>10</v>
      </c>
    </row>
    <row r="15" spans="1:5" x14ac:dyDescent="0.3">
      <c r="A15" s="5" t="s">
        <v>11</v>
      </c>
      <c r="C15" s="17"/>
      <c r="D15" s="26">
        <v>49000</v>
      </c>
      <c r="E15" s="21"/>
    </row>
    <row r="16" spans="1:5" x14ac:dyDescent="0.3">
      <c r="A16" s="3" t="s">
        <v>12</v>
      </c>
      <c r="C16" s="17"/>
      <c r="E16" s="21"/>
    </row>
    <row r="17" spans="1:5" x14ac:dyDescent="0.3">
      <c r="A17" s="5" t="s">
        <v>7</v>
      </c>
      <c r="C17" s="17"/>
      <c r="D17" s="26">
        <v>12232</v>
      </c>
      <c r="E17" s="21"/>
    </row>
    <row r="18" spans="1:5" x14ac:dyDescent="0.3">
      <c r="A18" s="5" t="s">
        <v>13</v>
      </c>
      <c r="C18" s="17"/>
      <c r="D18" s="26">
        <v>27000</v>
      </c>
      <c r="E18" s="21" t="s">
        <v>10</v>
      </c>
    </row>
    <row r="19" spans="1:5" x14ac:dyDescent="0.3">
      <c r="A19" s="3" t="s">
        <v>14</v>
      </c>
      <c r="C19" s="17"/>
      <c r="D19" s="26">
        <v>0</v>
      </c>
      <c r="E19" s="21"/>
    </row>
    <row r="20" spans="1:5" x14ac:dyDescent="0.3">
      <c r="A20" s="5" t="s">
        <v>15</v>
      </c>
      <c r="C20" s="17"/>
      <c r="D20" s="26">
        <v>53724</v>
      </c>
      <c r="E20" s="21" t="s">
        <v>10</v>
      </c>
    </row>
    <row r="21" spans="1:5" x14ac:dyDescent="0.3">
      <c r="A21" s="5" t="s">
        <v>16</v>
      </c>
      <c r="C21" s="17"/>
      <c r="D21" s="26">
        <v>58608</v>
      </c>
      <c r="E21" s="21" t="s">
        <v>10</v>
      </c>
    </row>
    <row r="22" spans="1:5" x14ac:dyDescent="0.3">
      <c r="A22" s="3" t="s">
        <v>17</v>
      </c>
      <c r="C22" s="17"/>
      <c r="D22" s="26">
        <v>0</v>
      </c>
      <c r="E22" s="21"/>
    </row>
    <row r="23" spans="1:5" x14ac:dyDescent="0.3">
      <c r="A23" s="5" t="s">
        <v>18</v>
      </c>
      <c r="C23" s="17"/>
      <c r="D23" s="26">
        <v>36630</v>
      </c>
      <c r="E23" s="21" t="s">
        <v>10</v>
      </c>
    </row>
    <row r="24" spans="1:5" x14ac:dyDescent="0.3">
      <c r="A24" s="5" t="s">
        <v>19</v>
      </c>
      <c r="C24" s="17"/>
      <c r="D24" s="26">
        <v>61050</v>
      </c>
      <c r="E24" s="21"/>
    </row>
    <row r="25" spans="1:5" x14ac:dyDescent="0.3">
      <c r="A25" s="5" t="s">
        <v>20</v>
      </c>
      <c r="C25" s="17"/>
      <c r="D25" s="26">
        <v>79365</v>
      </c>
      <c r="E25" s="21"/>
    </row>
    <row r="26" spans="1:5" x14ac:dyDescent="0.3">
      <c r="A26" s="3" t="s">
        <v>21</v>
      </c>
      <c r="C26" s="17"/>
      <c r="D26" s="26">
        <v>0</v>
      </c>
      <c r="E26" s="21"/>
    </row>
    <row r="27" spans="1:5" x14ac:dyDescent="0.3">
      <c r="A27" s="5" t="s">
        <v>22</v>
      </c>
      <c r="C27" s="17"/>
      <c r="D27" s="26">
        <v>58608</v>
      </c>
      <c r="E27" s="21" t="s">
        <v>10</v>
      </c>
    </row>
    <row r="28" spans="1:5" x14ac:dyDescent="0.3">
      <c r="A28" s="5" t="s">
        <v>23</v>
      </c>
      <c r="C28" s="17"/>
      <c r="D28" s="26">
        <v>67155</v>
      </c>
      <c r="E28" s="21"/>
    </row>
    <row r="29" spans="1:5" x14ac:dyDescent="0.3">
      <c r="A29" s="5" t="s">
        <v>24</v>
      </c>
      <c r="C29" s="17"/>
      <c r="D29" s="26">
        <v>85470</v>
      </c>
      <c r="E29" s="21"/>
    </row>
    <row r="30" spans="1:5" x14ac:dyDescent="0.3">
      <c r="A30" s="3" t="s">
        <v>25</v>
      </c>
      <c r="C30" s="17"/>
      <c r="D30" s="26">
        <v>0</v>
      </c>
      <c r="E30" s="21"/>
    </row>
    <row r="31" spans="1:5" x14ac:dyDescent="0.3">
      <c r="A31" s="5" t="s">
        <v>26</v>
      </c>
      <c r="C31" s="17"/>
      <c r="D31" s="26">
        <v>67155</v>
      </c>
      <c r="E31" s="21"/>
    </row>
    <row r="32" spans="1:5" x14ac:dyDescent="0.3">
      <c r="A32" s="5" t="s">
        <v>27</v>
      </c>
      <c r="C32" s="17"/>
      <c r="D32" s="26">
        <v>78144</v>
      </c>
      <c r="E32" s="21"/>
    </row>
    <row r="33" spans="1:5" x14ac:dyDescent="0.3">
      <c r="A33" s="3" t="s">
        <v>28</v>
      </c>
      <c r="C33" s="17"/>
      <c r="D33" s="26">
        <v>0</v>
      </c>
      <c r="E33" s="21"/>
    </row>
    <row r="34" spans="1:5" x14ac:dyDescent="0.3">
      <c r="A34" s="5" t="s">
        <v>29</v>
      </c>
      <c r="C34" s="17"/>
      <c r="D34" s="26">
        <v>67155</v>
      </c>
      <c r="E34" s="21"/>
    </row>
    <row r="35" spans="1:5" x14ac:dyDescent="0.3">
      <c r="A35" s="5" t="s">
        <v>30</v>
      </c>
      <c r="C35" s="17"/>
      <c r="D35" s="26">
        <v>78144</v>
      </c>
      <c r="E35" s="21"/>
    </row>
    <row r="36" spans="1:5" x14ac:dyDescent="0.3">
      <c r="A36" s="3" t="s">
        <v>31</v>
      </c>
      <c r="C36" s="17"/>
      <c r="D36" s="26">
        <v>0</v>
      </c>
      <c r="E36" s="21"/>
    </row>
    <row r="37" spans="1:5" x14ac:dyDescent="0.3">
      <c r="A37" s="5" t="s">
        <v>32</v>
      </c>
      <c r="C37" s="17"/>
      <c r="D37" s="26">
        <v>42000</v>
      </c>
      <c r="E37" s="21"/>
    </row>
    <row r="38" spans="1:5" x14ac:dyDescent="0.3">
      <c r="A38" s="5" t="s">
        <v>33</v>
      </c>
      <c r="C38" s="17"/>
      <c r="D38" s="26">
        <v>78144</v>
      </c>
      <c r="E38" s="21"/>
    </row>
    <row r="39" spans="1:5" x14ac:dyDescent="0.3">
      <c r="A39" s="3" t="s">
        <v>34</v>
      </c>
      <c r="C39" s="17"/>
      <c r="D39" s="26">
        <v>0</v>
      </c>
      <c r="E39" s="21"/>
    </row>
    <row r="40" spans="1:5" x14ac:dyDescent="0.3">
      <c r="A40" s="5" t="s">
        <v>35</v>
      </c>
      <c r="C40" s="17"/>
      <c r="D40" s="26">
        <v>28083</v>
      </c>
      <c r="E40" s="21" t="s">
        <v>10</v>
      </c>
    </row>
    <row r="41" spans="1:5" x14ac:dyDescent="0.3">
      <c r="A41" s="5" t="s">
        <v>36</v>
      </c>
      <c r="C41" s="17"/>
      <c r="D41" s="26">
        <v>40000</v>
      </c>
      <c r="E41" s="21"/>
    </row>
    <row r="42" spans="1:5" x14ac:dyDescent="0.3">
      <c r="A42" s="3" t="s">
        <v>37</v>
      </c>
      <c r="C42" s="17"/>
      <c r="E42" s="21"/>
    </row>
    <row r="43" spans="1:5" x14ac:dyDescent="0.3">
      <c r="A43" s="5" t="s">
        <v>18</v>
      </c>
      <c r="C43" s="17"/>
      <c r="D43" s="26">
        <v>28083</v>
      </c>
      <c r="E43" s="21"/>
    </row>
    <row r="44" spans="1:5" x14ac:dyDescent="0.3">
      <c r="A44" s="5" t="s">
        <v>38</v>
      </c>
      <c r="C44" s="17"/>
      <c r="D44" s="26">
        <v>58608</v>
      </c>
      <c r="E44" s="21" t="s">
        <v>10</v>
      </c>
    </row>
    <row r="45" spans="1:5" x14ac:dyDescent="0.3">
      <c r="A45" s="3" t="s">
        <v>39</v>
      </c>
      <c r="C45" s="17"/>
      <c r="D45" s="26">
        <v>0</v>
      </c>
      <c r="E45" s="21"/>
    </row>
    <row r="46" spans="1:5" x14ac:dyDescent="0.3">
      <c r="A46" s="5" t="s">
        <v>40</v>
      </c>
      <c r="C46" s="17"/>
      <c r="D46" s="26">
        <v>58608</v>
      </c>
      <c r="E46" s="21" t="s">
        <v>10</v>
      </c>
    </row>
    <row r="47" spans="1:5" x14ac:dyDescent="0.3">
      <c r="A47" s="5" t="s">
        <v>41</v>
      </c>
      <c r="C47" s="17"/>
      <c r="D47" s="26">
        <v>67155</v>
      </c>
      <c r="E47" s="21" t="s">
        <v>42</v>
      </c>
    </row>
    <row r="48" spans="1:5" x14ac:dyDescent="0.3">
      <c r="A48" s="5" t="s">
        <v>43</v>
      </c>
      <c r="C48" s="17"/>
      <c r="D48" s="26">
        <v>85470</v>
      </c>
      <c r="E48" s="21"/>
    </row>
    <row r="49" spans="1:5" x14ac:dyDescent="0.3">
      <c r="A49" s="3" t="s">
        <v>44</v>
      </c>
      <c r="C49" s="17"/>
      <c r="D49" s="26">
        <v>0</v>
      </c>
      <c r="E49" s="21"/>
    </row>
    <row r="50" spans="1:5" x14ac:dyDescent="0.3">
      <c r="A50" s="5" t="s">
        <v>45</v>
      </c>
      <c r="C50" s="17"/>
      <c r="D50" s="26">
        <v>28083</v>
      </c>
      <c r="E50" s="21" t="s">
        <v>10</v>
      </c>
    </row>
    <row r="51" spans="1:5" x14ac:dyDescent="0.3">
      <c r="A51" s="5" t="s">
        <v>46</v>
      </c>
      <c r="C51" s="17"/>
      <c r="D51" s="26">
        <v>58608</v>
      </c>
      <c r="E51" s="21" t="s">
        <v>10</v>
      </c>
    </row>
    <row r="52" spans="1:5" x14ac:dyDescent="0.3">
      <c r="A52" s="3" t="s">
        <v>47</v>
      </c>
      <c r="C52" s="17"/>
      <c r="D52" s="26">
        <v>0</v>
      </c>
      <c r="E52" s="21"/>
    </row>
    <row r="53" spans="1:5" x14ac:dyDescent="0.3">
      <c r="A53" s="5" t="s">
        <v>48</v>
      </c>
      <c r="C53" s="17"/>
      <c r="D53" s="26">
        <v>28083</v>
      </c>
      <c r="E53" s="21" t="s">
        <v>10</v>
      </c>
    </row>
    <row r="54" spans="1:5" x14ac:dyDescent="0.3">
      <c r="A54" s="5" t="s">
        <v>49</v>
      </c>
      <c r="C54" s="17"/>
      <c r="D54" s="26">
        <v>35409</v>
      </c>
      <c r="E54" s="21"/>
    </row>
    <row r="55" spans="1:5" x14ac:dyDescent="0.3">
      <c r="A55" s="5" t="s">
        <v>50</v>
      </c>
      <c r="C55" s="17"/>
      <c r="D55" s="26">
        <v>58608</v>
      </c>
      <c r="E55" s="21"/>
    </row>
    <row r="56" spans="1:5" x14ac:dyDescent="0.3">
      <c r="A56" s="5" t="s">
        <v>51</v>
      </c>
      <c r="C56" s="17"/>
      <c r="D56" s="26">
        <v>79365</v>
      </c>
      <c r="E56" s="21"/>
    </row>
    <row r="57" spans="1:5" x14ac:dyDescent="0.3">
      <c r="A57" s="3" t="s">
        <v>52</v>
      </c>
      <c r="C57" s="17"/>
      <c r="D57" s="26">
        <v>0</v>
      </c>
      <c r="E57" s="21"/>
    </row>
    <row r="58" spans="1:5" x14ac:dyDescent="0.3">
      <c r="A58" s="5" t="s">
        <v>53</v>
      </c>
      <c r="C58" s="17"/>
      <c r="D58" s="26">
        <v>28083</v>
      </c>
      <c r="E58" s="21"/>
    </row>
    <row r="59" spans="1:5" x14ac:dyDescent="0.3">
      <c r="A59" s="5" t="s">
        <v>54</v>
      </c>
      <c r="C59" s="17"/>
      <c r="D59" s="26">
        <v>35409</v>
      </c>
      <c r="E59" s="21"/>
    </row>
    <row r="60" spans="1:5" x14ac:dyDescent="0.3">
      <c r="A60" s="5" t="s">
        <v>55</v>
      </c>
      <c r="C60" s="17"/>
      <c r="D60" s="26">
        <v>58608</v>
      </c>
      <c r="E60" s="21"/>
    </row>
    <row r="61" spans="1:5" x14ac:dyDescent="0.3">
      <c r="A61" s="5" t="s">
        <v>56</v>
      </c>
      <c r="C61" s="17"/>
      <c r="D61" s="26">
        <v>78144</v>
      </c>
      <c r="E61" s="21"/>
    </row>
    <row r="62" spans="1:5" x14ac:dyDescent="0.3">
      <c r="A62" s="3" t="s">
        <v>57</v>
      </c>
      <c r="C62" s="17"/>
      <c r="D62" s="26">
        <v>0</v>
      </c>
      <c r="E62" s="21"/>
    </row>
    <row r="63" spans="1:5" x14ac:dyDescent="0.3">
      <c r="A63" s="5" t="s">
        <v>58</v>
      </c>
      <c r="C63" s="17"/>
      <c r="D63" s="26">
        <v>28083</v>
      </c>
      <c r="E63" s="21"/>
    </row>
    <row r="64" spans="1:5" x14ac:dyDescent="0.3">
      <c r="A64" s="5" t="s">
        <v>59</v>
      </c>
      <c r="C64" s="17"/>
      <c r="D64" s="26">
        <v>58608</v>
      </c>
      <c r="E64" s="21"/>
    </row>
    <row r="65" spans="1:5" x14ac:dyDescent="0.3">
      <c r="A65" s="3" t="s">
        <v>60</v>
      </c>
      <c r="C65" s="17"/>
      <c r="D65" s="26">
        <v>0</v>
      </c>
      <c r="E65" s="21"/>
    </row>
    <row r="66" spans="1:5" x14ac:dyDescent="0.3">
      <c r="A66" s="5" t="s">
        <v>61</v>
      </c>
      <c r="C66" s="17"/>
      <c r="D66" s="26">
        <v>17094</v>
      </c>
      <c r="E66" s="21" t="s">
        <v>10</v>
      </c>
    </row>
    <row r="67" spans="1:5" x14ac:dyDescent="0.3">
      <c r="A67" s="3" t="s">
        <v>62</v>
      </c>
      <c r="C67" s="17"/>
      <c r="D67" s="26">
        <v>0</v>
      </c>
      <c r="E67" s="21"/>
    </row>
    <row r="68" spans="1:5" x14ac:dyDescent="0.3">
      <c r="A68" s="5" t="s">
        <v>63</v>
      </c>
      <c r="C68" s="17"/>
      <c r="D68" s="26">
        <v>67155</v>
      </c>
      <c r="E68" s="21"/>
    </row>
    <row r="69" spans="1:5" x14ac:dyDescent="0.3">
      <c r="A69" s="5" t="s">
        <v>64</v>
      </c>
      <c r="C69" s="17"/>
      <c r="D69" s="26">
        <v>99000</v>
      </c>
      <c r="E69" s="21" t="s">
        <v>42</v>
      </c>
    </row>
    <row r="70" spans="1:5" x14ac:dyDescent="0.3">
      <c r="A70" s="3" t="s">
        <v>65</v>
      </c>
      <c r="C70" s="17"/>
      <c r="E70" s="21"/>
    </row>
    <row r="71" spans="1:5" x14ac:dyDescent="0.3">
      <c r="A71" s="5" t="s">
        <v>66</v>
      </c>
      <c r="C71" s="17"/>
      <c r="D71" s="26">
        <v>58608</v>
      </c>
      <c r="E71" s="21"/>
    </row>
    <row r="72" spans="1:5" x14ac:dyDescent="0.3">
      <c r="A72" s="5" t="s">
        <v>67</v>
      </c>
      <c r="C72" s="17"/>
      <c r="D72" s="26">
        <v>67155</v>
      </c>
      <c r="E72" s="21"/>
    </row>
    <row r="73" spans="1:5" x14ac:dyDescent="0.3">
      <c r="A73" s="3" t="s">
        <v>68</v>
      </c>
      <c r="C73" s="17"/>
      <c r="D73" s="26">
        <v>0</v>
      </c>
      <c r="E73" s="21"/>
    </row>
    <row r="74" spans="1:5" x14ac:dyDescent="0.3">
      <c r="A74" s="5" t="s">
        <v>69</v>
      </c>
      <c r="C74" s="17"/>
      <c r="D74" s="26">
        <v>37018.5</v>
      </c>
      <c r="E74" s="21"/>
    </row>
    <row r="75" spans="1:5" x14ac:dyDescent="0.3">
      <c r="A75" s="5" t="s">
        <v>70</v>
      </c>
      <c r="C75" s="17"/>
      <c r="D75" s="26">
        <v>50000</v>
      </c>
      <c r="E75" s="21"/>
    </row>
    <row r="76" spans="1:5" x14ac:dyDescent="0.3">
      <c r="A76" s="3" t="s">
        <v>71</v>
      </c>
      <c r="C76" s="17"/>
      <c r="D76" s="26">
        <v>0</v>
      </c>
      <c r="E76" s="21"/>
    </row>
    <row r="77" spans="1:5" x14ac:dyDescent="0.3">
      <c r="A77" s="5" t="s">
        <v>72</v>
      </c>
      <c r="C77" s="17"/>
      <c r="D77" s="26">
        <v>28083</v>
      </c>
      <c r="E77" s="21" t="s">
        <v>10</v>
      </c>
    </row>
    <row r="78" spans="1:5" x14ac:dyDescent="0.3">
      <c r="A78" s="3" t="s">
        <v>73</v>
      </c>
      <c r="C78" s="17"/>
      <c r="D78" s="26">
        <v>0</v>
      </c>
      <c r="E78" s="21"/>
    </row>
    <row r="79" spans="1:5" x14ac:dyDescent="0.3">
      <c r="A79" s="5" t="s">
        <v>74</v>
      </c>
      <c r="C79" s="17"/>
      <c r="D79" s="26">
        <v>8900</v>
      </c>
      <c r="E79" s="21"/>
    </row>
    <row r="80" spans="1:5" x14ac:dyDescent="0.3">
      <c r="A80" s="3" t="s">
        <v>75</v>
      </c>
      <c r="C80" s="17"/>
      <c r="E80" s="21"/>
    </row>
    <row r="81" spans="1:6" x14ac:dyDescent="0.3">
      <c r="A81" s="5" t="s">
        <v>76</v>
      </c>
      <c r="C81" s="17"/>
      <c r="D81" s="26">
        <v>8900</v>
      </c>
      <c r="E81" s="21"/>
    </row>
    <row r="82" spans="1:6" x14ac:dyDescent="0.3">
      <c r="A82" s="12" t="s">
        <v>77</v>
      </c>
      <c r="B82" s="13"/>
      <c r="C82" s="18"/>
      <c r="D82" s="27">
        <v>8500</v>
      </c>
      <c r="E82" s="23"/>
    </row>
    <row r="83" spans="1:6" x14ac:dyDescent="0.3">
      <c r="A83" s="3" t="s">
        <v>78</v>
      </c>
      <c r="C83" s="17"/>
      <c r="D83" s="26">
        <v>0</v>
      </c>
      <c r="E83" s="21"/>
    </row>
    <row r="84" spans="1:6" x14ac:dyDescent="0.3">
      <c r="A84" s="5" t="s">
        <v>79</v>
      </c>
      <c r="C84" s="17"/>
      <c r="D84" s="26">
        <v>8900</v>
      </c>
      <c r="E84" s="21"/>
    </row>
    <row r="85" spans="1:6" x14ac:dyDescent="0.3">
      <c r="A85" s="7" t="s">
        <v>77</v>
      </c>
      <c r="B85" s="14"/>
      <c r="C85" s="19"/>
      <c r="D85" s="25">
        <v>8500</v>
      </c>
      <c r="E85" s="24"/>
    </row>
    <row r="86" spans="1:6" x14ac:dyDescent="0.3">
      <c r="A86" s="6" t="s">
        <v>80</v>
      </c>
      <c r="C86" s="17"/>
      <c r="D86" s="26">
        <v>25000</v>
      </c>
      <c r="E86" s="21"/>
      <c r="F86" t="s">
        <v>42</v>
      </c>
    </row>
    <row r="87" spans="1:6" x14ac:dyDescent="0.3">
      <c r="A87" s="3" t="s">
        <v>78</v>
      </c>
      <c r="C87" s="17"/>
      <c r="D87" s="26">
        <v>0</v>
      </c>
      <c r="E87" s="21"/>
    </row>
    <row r="88" spans="1:6" x14ac:dyDescent="0.3">
      <c r="A88" s="5" t="s">
        <v>81</v>
      </c>
      <c r="C88" s="17"/>
      <c r="D88" s="26">
        <v>12878.775</v>
      </c>
      <c r="E88" s="21" t="s">
        <v>10</v>
      </c>
    </row>
    <row r="89" spans="1:6" x14ac:dyDescent="0.3">
      <c r="A89" s="5" t="s">
        <v>82</v>
      </c>
      <c r="C89" s="17"/>
      <c r="D89" s="26">
        <v>20909.07</v>
      </c>
      <c r="E89" s="21" t="s">
        <v>10</v>
      </c>
    </row>
    <row r="90" spans="1:6" x14ac:dyDescent="0.3">
      <c r="A90" s="3" t="s">
        <v>83</v>
      </c>
      <c r="C90" s="17"/>
      <c r="D90" s="26">
        <v>0</v>
      </c>
      <c r="E90" s="21"/>
    </row>
    <row r="91" spans="1:6" x14ac:dyDescent="0.3">
      <c r="A91" s="5" t="s">
        <v>84</v>
      </c>
      <c r="C91" s="17"/>
      <c r="D91" s="26">
        <v>22000</v>
      </c>
      <c r="E91" s="21"/>
    </row>
    <row r="92" spans="1:6" x14ac:dyDescent="0.3">
      <c r="A92" s="5" t="s">
        <v>85</v>
      </c>
      <c r="C92" s="17"/>
      <c r="D92" s="26">
        <v>37500</v>
      </c>
      <c r="E92" s="21"/>
    </row>
    <row r="93" spans="1:6" x14ac:dyDescent="0.3">
      <c r="A93" s="5" t="s">
        <v>86</v>
      </c>
      <c r="C93" s="17"/>
      <c r="D93" s="26">
        <v>99000</v>
      </c>
      <c r="E93" s="21" t="s">
        <v>42</v>
      </c>
    </row>
    <row r="94" spans="1:6" x14ac:dyDescent="0.3">
      <c r="A94" s="3" t="s">
        <v>87</v>
      </c>
      <c r="C94" s="17"/>
      <c r="D94" s="26">
        <v>0</v>
      </c>
      <c r="E94" s="21"/>
    </row>
    <row r="95" spans="1:6" x14ac:dyDescent="0.3">
      <c r="A95" s="5" t="s">
        <v>88</v>
      </c>
      <c r="C95" s="17"/>
      <c r="D95" s="26">
        <v>30525</v>
      </c>
      <c r="E95" s="21" t="s">
        <v>10</v>
      </c>
    </row>
    <row r="96" spans="1:6" x14ac:dyDescent="0.3">
      <c r="A96" s="5" t="s">
        <v>89</v>
      </c>
      <c r="C96" s="17"/>
      <c r="D96" s="26">
        <v>39072</v>
      </c>
      <c r="E96" s="21"/>
    </row>
    <row r="97" spans="1:5" x14ac:dyDescent="0.3">
      <c r="A97" s="3" t="s">
        <v>90</v>
      </c>
      <c r="C97" s="17"/>
      <c r="D97" s="26">
        <v>0</v>
      </c>
      <c r="E97" s="21"/>
    </row>
    <row r="98" spans="1:5" x14ac:dyDescent="0.3">
      <c r="A98" s="5" t="s">
        <v>91</v>
      </c>
      <c r="C98" s="17"/>
      <c r="D98" s="26">
        <v>21978</v>
      </c>
      <c r="E98" s="21"/>
    </row>
    <row r="99" spans="1:5" x14ac:dyDescent="0.3">
      <c r="A99" s="5" t="s">
        <v>92</v>
      </c>
      <c r="C99" s="17"/>
      <c r="D99" s="26">
        <v>29304</v>
      </c>
      <c r="E99" s="21"/>
    </row>
    <row r="100" spans="1:5" x14ac:dyDescent="0.3">
      <c r="A100" s="5" t="s">
        <v>93</v>
      </c>
      <c r="C100" s="17"/>
      <c r="D100" s="26">
        <v>76923</v>
      </c>
      <c r="E100" s="21"/>
    </row>
    <row r="101" spans="1:5" x14ac:dyDescent="0.3">
      <c r="A101" s="5" t="s">
        <v>94</v>
      </c>
      <c r="C101" s="17"/>
      <c r="D101" s="26">
        <v>120879</v>
      </c>
      <c r="E101" s="21"/>
    </row>
    <row r="102" spans="1:5" x14ac:dyDescent="0.3">
      <c r="A102" s="5" t="s">
        <v>95</v>
      </c>
      <c r="C102" s="17"/>
      <c r="E102" s="21"/>
    </row>
    <row r="103" spans="1:5" x14ac:dyDescent="0.3">
      <c r="A103" s="5" t="s">
        <v>96</v>
      </c>
      <c r="C103" s="17"/>
      <c r="D103" s="26">
        <v>36630</v>
      </c>
      <c r="E103" s="21"/>
    </row>
    <row r="104" spans="1:5" x14ac:dyDescent="0.3">
      <c r="A104" s="5" t="s">
        <v>97</v>
      </c>
      <c r="C104" s="17"/>
      <c r="D104" s="26">
        <v>67155</v>
      </c>
      <c r="E104" s="21"/>
    </row>
    <row r="105" spans="1:5" x14ac:dyDescent="0.3">
      <c r="A105" s="3" t="s">
        <v>98</v>
      </c>
      <c r="C105" s="17"/>
      <c r="E105" s="21"/>
    </row>
    <row r="106" spans="1:5" x14ac:dyDescent="0.3">
      <c r="A106" s="5" t="s">
        <v>99</v>
      </c>
      <c r="C106" s="17"/>
      <c r="D106" s="26">
        <v>33333</v>
      </c>
      <c r="E106" s="21"/>
    </row>
    <row r="107" spans="1:5" x14ac:dyDescent="0.3">
      <c r="A107" s="3" t="s">
        <v>100</v>
      </c>
      <c r="C107" s="17"/>
      <c r="D107" s="26">
        <v>0</v>
      </c>
      <c r="E107" s="21"/>
    </row>
    <row r="108" spans="1:5" x14ac:dyDescent="0.3">
      <c r="A108" s="5" t="s">
        <v>101</v>
      </c>
      <c r="C108" s="17"/>
      <c r="D108" s="26">
        <v>23199</v>
      </c>
      <c r="E108" s="21"/>
    </row>
    <row r="109" spans="1:5" x14ac:dyDescent="0.3">
      <c r="A109" s="5" t="s">
        <v>102</v>
      </c>
      <c r="C109" s="17"/>
      <c r="D109" s="26">
        <v>43956</v>
      </c>
      <c r="E109" s="21"/>
    </row>
    <row r="110" spans="1:5" x14ac:dyDescent="0.3">
      <c r="A110" s="3" t="s">
        <v>103</v>
      </c>
      <c r="C110" s="17"/>
      <c r="D110" s="26">
        <v>0</v>
      </c>
      <c r="E110" s="21"/>
    </row>
    <row r="111" spans="1:5" x14ac:dyDescent="0.3">
      <c r="A111" s="5" t="s">
        <v>104</v>
      </c>
      <c r="C111" s="17"/>
      <c r="D111" s="26">
        <v>10989</v>
      </c>
      <c r="E111" s="21"/>
    </row>
    <row r="112" spans="1:5" x14ac:dyDescent="0.3">
      <c r="A112" s="3" t="s">
        <v>105</v>
      </c>
      <c r="C112" s="17"/>
      <c r="E112" s="21"/>
    </row>
    <row r="113" spans="1:6" x14ac:dyDescent="0.3">
      <c r="A113" s="5" t="s">
        <v>106</v>
      </c>
      <c r="C113" s="17"/>
      <c r="D113" s="26">
        <v>58608</v>
      </c>
      <c r="E113" s="21"/>
    </row>
    <row r="114" spans="1:6" x14ac:dyDescent="0.3">
      <c r="A114" s="5" t="s">
        <v>107</v>
      </c>
      <c r="C114" s="17"/>
      <c r="D114" s="26">
        <v>67155</v>
      </c>
      <c r="E114" s="21"/>
    </row>
    <row r="115" spans="1:6" x14ac:dyDescent="0.3">
      <c r="A115" s="3" t="s">
        <v>108</v>
      </c>
      <c r="C115" s="17"/>
      <c r="D115" s="26">
        <v>0</v>
      </c>
      <c r="E115" s="21"/>
    </row>
    <row r="116" spans="1:6" x14ac:dyDescent="0.3">
      <c r="A116" s="5" t="s">
        <v>109</v>
      </c>
      <c r="C116" s="17"/>
      <c r="D116" s="26">
        <v>10461</v>
      </c>
      <c r="E116" s="21"/>
    </row>
    <row r="117" spans="1:6" x14ac:dyDescent="0.3">
      <c r="A117" s="7" t="s">
        <v>110</v>
      </c>
      <c r="C117" s="17"/>
      <c r="D117" s="26">
        <v>9956</v>
      </c>
      <c r="E117" s="24" t="s">
        <v>111</v>
      </c>
    </row>
    <row r="118" spans="1:6" x14ac:dyDescent="0.3">
      <c r="A118" s="5" t="s">
        <v>112</v>
      </c>
      <c r="C118" s="17"/>
      <c r="D118" s="26">
        <v>27000</v>
      </c>
      <c r="E118" s="21"/>
      <c r="F118" t="s">
        <v>42</v>
      </c>
    </row>
    <row r="119" spans="1:6" x14ac:dyDescent="0.3">
      <c r="A119" s="7" t="s">
        <v>113</v>
      </c>
      <c r="B119" s="14"/>
      <c r="C119" s="19"/>
      <c r="D119" s="25">
        <v>25000</v>
      </c>
      <c r="E119" s="24" t="s">
        <v>111</v>
      </c>
    </row>
    <row r="120" spans="1:6" x14ac:dyDescent="0.3">
      <c r="A120" s="3" t="s">
        <v>114</v>
      </c>
      <c r="C120" s="17"/>
      <c r="D120" s="26">
        <v>0</v>
      </c>
      <c r="E120" s="21"/>
    </row>
    <row r="121" spans="1:6" x14ac:dyDescent="0.3">
      <c r="A121" s="5" t="s">
        <v>115</v>
      </c>
      <c r="C121" s="17"/>
      <c r="D121" s="26">
        <v>18026</v>
      </c>
      <c r="E121" s="21"/>
    </row>
    <row r="122" spans="1:6" x14ac:dyDescent="0.3">
      <c r="A122" s="5" t="s">
        <v>116</v>
      </c>
      <c r="C122" s="17"/>
      <c r="D122" s="26">
        <v>28971</v>
      </c>
      <c r="E122" s="21"/>
    </row>
    <row r="123" spans="1:6" x14ac:dyDescent="0.3">
      <c r="A123" s="5" t="s">
        <v>117</v>
      </c>
      <c r="C123" s="17"/>
      <c r="D123" s="26">
        <v>57942</v>
      </c>
      <c r="E123" s="21" t="s">
        <v>10</v>
      </c>
    </row>
    <row r="124" spans="1:6" x14ac:dyDescent="0.3">
      <c r="A124" s="5" t="s">
        <v>118</v>
      </c>
      <c r="C124" s="17"/>
      <c r="D124" s="26">
        <v>78865.5</v>
      </c>
      <c r="E124" s="21" t="s">
        <v>10</v>
      </c>
    </row>
    <row r="125" spans="1:6" x14ac:dyDescent="0.3">
      <c r="A125" s="5" t="s">
        <v>119</v>
      </c>
      <c r="C125" s="17"/>
      <c r="D125" s="26">
        <v>94960.5</v>
      </c>
      <c r="E125" s="21" t="s">
        <v>10</v>
      </c>
    </row>
    <row r="126" spans="1:6" x14ac:dyDescent="0.3">
      <c r="A126" s="5" t="s">
        <v>120</v>
      </c>
      <c r="C126" s="17"/>
      <c r="D126" s="26">
        <v>120712.5</v>
      </c>
      <c r="E126" s="21" t="s">
        <v>10</v>
      </c>
    </row>
    <row r="127" spans="1:6" x14ac:dyDescent="0.3">
      <c r="A127" s="3" t="s">
        <v>121</v>
      </c>
      <c r="C127" s="17"/>
      <c r="D127" s="26">
        <v>0</v>
      </c>
      <c r="E127" s="21"/>
    </row>
    <row r="128" spans="1:6" x14ac:dyDescent="0.3">
      <c r="A128" s="5" t="s">
        <v>122</v>
      </c>
      <c r="C128" s="17"/>
      <c r="D128" s="26">
        <v>22588</v>
      </c>
      <c r="E128" s="21" t="s">
        <v>10</v>
      </c>
    </row>
    <row r="129" spans="1:5" x14ac:dyDescent="0.3">
      <c r="A129" s="5" t="s">
        <v>123</v>
      </c>
      <c r="C129" s="17"/>
      <c r="D129" s="26">
        <v>43956</v>
      </c>
      <c r="E129" s="21"/>
    </row>
    <row r="130" spans="1:5" x14ac:dyDescent="0.3">
      <c r="A130" s="3" t="s">
        <v>124</v>
      </c>
      <c r="C130" s="17"/>
      <c r="D130" s="26">
        <v>0</v>
      </c>
      <c r="E130" s="21"/>
    </row>
    <row r="131" spans="1:5" x14ac:dyDescent="0.3">
      <c r="A131" s="5" t="s">
        <v>7</v>
      </c>
      <c r="C131" s="17"/>
      <c r="D131" s="26">
        <v>12232</v>
      </c>
      <c r="E131" s="21"/>
    </row>
    <row r="132" spans="1:5" x14ac:dyDescent="0.3">
      <c r="A132" s="5" t="s">
        <v>8</v>
      </c>
      <c r="C132" s="17"/>
      <c r="D132" s="26">
        <v>27000</v>
      </c>
      <c r="E132" s="21"/>
    </row>
    <row r="133" spans="1:5" x14ac:dyDescent="0.3">
      <c r="A133" s="3" t="s">
        <v>125</v>
      </c>
      <c r="C133" s="17"/>
      <c r="D133" s="26">
        <v>0</v>
      </c>
      <c r="E133" s="21"/>
    </row>
    <row r="134" spans="1:5" x14ac:dyDescent="0.3">
      <c r="A134" s="5" t="s">
        <v>126</v>
      </c>
      <c r="C134" s="17"/>
      <c r="D134" s="26">
        <v>12232</v>
      </c>
      <c r="E134" s="21"/>
    </row>
    <row r="135" spans="1:5" x14ac:dyDescent="0.3">
      <c r="A135" s="5" t="s">
        <v>127</v>
      </c>
      <c r="C135" s="17"/>
      <c r="D135" s="26">
        <v>27000</v>
      </c>
      <c r="E135" s="21"/>
    </row>
    <row r="136" spans="1:5" x14ac:dyDescent="0.3">
      <c r="A136" s="3" t="s">
        <v>128</v>
      </c>
      <c r="C136" s="17"/>
      <c r="D136" s="26">
        <v>0</v>
      </c>
      <c r="E136" s="21"/>
    </row>
    <row r="137" spans="1:5" x14ac:dyDescent="0.3">
      <c r="A137" s="5" t="s">
        <v>129</v>
      </c>
      <c r="C137" s="17"/>
      <c r="D137" s="26">
        <v>28083</v>
      </c>
      <c r="E137" s="21"/>
    </row>
    <row r="138" spans="1:5" x14ac:dyDescent="0.3">
      <c r="A138" s="5" t="s">
        <v>130</v>
      </c>
      <c r="C138" s="17"/>
      <c r="D138" s="26">
        <v>42000</v>
      </c>
      <c r="E138" s="21"/>
    </row>
    <row r="139" spans="1:5" x14ac:dyDescent="0.3">
      <c r="A139" s="5" t="s">
        <v>131</v>
      </c>
      <c r="C139" s="17"/>
      <c r="D139" s="26">
        <v>67155</v>
      </c>
      <c r="E139" s="21"/>
    </row>
    <row r="140" spans="1:5" x14ac:dyDescent="0.3">
      <c r="A140" s="5" t="s">
        <v>132</v>
      </c>
      <c r="C140" s="17"/>
      <c r="D140" s="26">
        <v>78144</v>
      </c>
      <c r="E140" s="21" t="s">
        <v>10</v>
      </c>
    </row>
    <row r="141" spans="1:5" x14ac:dyDescent="0.3">
      <c r="A141" s="3" t="s">
        <v>133</v>
      </c>
      <c r="C141" s="17"/>
      <c r="D141" s="26">
        <v>0</v>
      </c>
      <c r="E141" s="21"/>
    </row>
    <row r="142" spans="1:5" x14ac:dyDescent="0.3">
      <c r="A142" s="5" t="s">
        <v>134</v>
      </c>
      <c r="C142" s="17"/>
      <c r="D142" s="26">
        <v>12987</v>
      </c>
      <c r="E142" s="21"/>
    </row>
    <row r="143" spans="1:5" x14ac:dyDescent="0.3">
      <c r="A143" s="5" t="s">
        <v>135</v>
      </c>
      <c r="C143" s="17"/>
      <c r="D143" s="26">
        <v>27000</v>
      </c>
      <c r="E143" s="21"/>
    </row>
    <row r="144" spans="1:5" x14ac:dyDescent="0.3">
      <c r="A144" s="5" t="s">
        <v>136</v>
      </c>
      <c r="C144" s="17"/>
      <c r="D144" s="26">
        <v>36500</v>
      </c>
      <c r="E144" s="21"/>
    </row>
    <row r="145" spans="1:5" x14ac:dyDescent="0.3">
      <c r="A145" s="5" t="s">
        <v>137</v>
      </c>
      <c r="C145" s="17"/>
      <c r="D145" s="26">
        <v>60000</v>
      </c>
      <c r="E145" s="21"/>
    </row>
    <row r="146" spans="1:5" x14ac:dyDescent="0.3">
      <c r="A146" s="3" t="s">
        <v>138</v>
      </c>
      <c r="C146" s="17"/>
      <c r="D146" s="26">
        <v>0</v>
      </c>
      <c r="E146" s="21"/>
    </row>
    <row r="147" spans="1:5" x14ac:dyDescent="0.3">
      <c r="A147" s="5" t="s">
        <v>139</v>
      </c>
      <c r="C147" s="17"/>
      <c r="D147" s="26">
        <v>12987</v>
      </c>
      <c r="E147" s="21"/>
    </row>
    <row r="148" spans="1:5" x14ac:dyDescent="0.3">
      <c r="A148" s="5" t="s">
        <v>140</v>
      </c>
      <c r="C148" s="17"/>
      <c r="D148" s="26">
        <v>27000</v>
      </c>
      <c r="E148" s="21"/>
    </row>
    <row r="149" spans="1:5" x14ac:dyDescent="0.3">
      <c r="A149" s="3" t="s">
        <v>141</v>
      </c>
      <c r="C149" s="17"/>
      <c r="D149" s="26">
        <v>0</v>
      </c>
      <c r="E149" s="21"/>
    </row>
    <row r="150" spans="1:5" x14ac:dyDescent="0.3">
      <c r="A150" s="5" t="s">
        <v>8</v>
      </c>
      <c r="C150" s="17"/>
      <c r="D150" s="26">
        <v>25000</v>
      </c>
      <c r="E150" s="21"/>
    </row>
    <row r="151" spans="1:5" x14ac:dyDescent="0.3">
      <c r="A151" s="3" t="s">
        <v>142</v>
      </c>
      <c r="C151" s="17"/>
      <c r="D151" s="26">
        <v>0</v>
      </c>
      <c r="E151" s="21"/>
    </row>
    <row r="152" spans="1:5" x14ac:dyDescent="0.3">
      <c r="A152" s="5" t="s">
        <v>7</v>
      </c>
      <c r="C152" s="17"/>
      <c r="D152" s="26">
        <v>12232</v>
      </c>
      <c r="E152" s="21"/>
    </row>
    <row r="153" spans="1:5" x14ac:dyDescent="0.3">
      <c r="A153" s="5" t="s">
        <v>143</v>
      </c>
      <c r="C153" s="17"/>
      <c r="D153" s="26">
        <v>27000</v>
      </c>
      <c r="E153" s="21"/>
    </row>
    <row r="154" spans="1:5" x14ac:dyDescent="0.3">
      <c r="A154" s="3" t="s">
        <v>144</v>
      </c>
      <c r="C154" s="17"/>
      <c r="D154" s="26">
        <v>0</v>
      </c>
      <c r="E154" s="21"/>
    </row>
    <row r="155" spans="1:5" x14ac:dyDescent="0.3">
      <c r="A155" s="5" t="s">
        <v>145</v>
      </c>
      <c r="C155" s="17"/>
      <c r="D155" s="26">
        <v>27000</v>
      </c>
      <c r="E155" s="21"/>
    </row>
    <row r="156" spans="1:5" x14ac:dyDescent="0.3">
      <c r="A156" s="5" t="s">
        <v>146</v>
      </c>
      <c r="C156" s="17"/>
      <c r="D156" s="26">
        <v>49900</v>
      </c>
      <c r="E156" s="21"/>
    </row>
    <row r="157" spans="1:5" x14ac:dyDescent="0.3">
      <c r="A157" s="3" t="s">
        <v>147</v>
      </c>
      <c r="C157" s="17"/>
      <c r="D157" s="26">
        <v>0</v>
      </c>
      <c r="E157" s="21"/>
    </row>
    <row r="158" spans="1:5" x14ac:dyDescent="0.3">
      <c r="A158" s="5" t="s">
        <v>8</v>
      </c>
      <c r="C158" s="17"/>
      <c r="D158" s="26">
        <v>38500</v>
      </c>
      <c r="E158" s="21"/>
    </row>
    <row r="159" spans="1:5" x14ac:dyDescent="0.3">
      <c r="A159" s="3" t="s">
        <v>148</v>
      </c>
      <c r="C159" s="17"/>
      <c r="D159" s="26">
        <v>0</v>
      </c>
      <c r="E159" s="21"/>
    </row>
    <row r="160" spans="1:5" x14ac:dyDescent="0.3">
      <c r="A160" s="5" t="s">
        <v>149</v>
      </c>
      <c r="C160" s="17"/>
      <c r="D160" s="26">
        <v>27000</v>
      </c>
      <c r="E160" s="21" t="s">
        <v>42</v>
      </c>
    </row>
    <row r="161" spans="1:5" x14ac:dyDescent="0.3">
      <c r="A161" s="3" t="s">
        <v>150</v>
      </c>
      <c r="C161" s="17"/>
      <c r="D161" s="26">
        <v>0</v>
      </c>
      <c r="E161" s="21"/>
    </row>
    <row r="162" spans="1:5" x14ac:dyDescent="0.3">
      <c r="A162" s="5" t="s">
        <v>151</v>
      </c>
      <c r="C162" s="17"/>
      <c r="D162" s="26">
        <v>12232</v>
      </c>
      <c r="E162" s="21"/>
    </row>
    <row r="163" spans="1:5" x14ac:dyDescent="0.3">
      <c r="A163" s="5" t="s">
        <v>127</v>
      </c>
      <c r="C163" s="17"/>
      <c r="D163" s="26">
        <v>32190</v>
      </c>
      <c r="E163" s="21" t="s">
        <v>10</v>
      </c>
    </row>
    <row r="164" spans="1:5" x14ac:dyDescent="0.3">
      <c r="A164" s="3" t="s">
        <v>152</v>
      </c>
      <c r="C164" s="17"/>
      <c r="E164" s="21"/>
    </row>
    <row r="165" spans="1:5" x14ac:dyDescent="0.3">
      <c r="A165" s="5" t="s">
        <v>153</v>
      </c>
      <c r="C165" s="17"/>
      <c r="D165" s="26">
        <v>27000</v>
      </c>
      <c r="E165" s="21"/>
    </row>
    <row r="166" spans="1:5" x14ac:dyDescent="0.3">
      <c r="A166" s="3" t="s">
        <v>154</v>
      </c>
      <c r="C166" s="17"/>
      <c r="D166" s="26">
        <v>0</v>
      </c>
      <c r="E166" s="21"/>
    </row>
    <row r="167" spans="1:5" x14ac:dyDescent="0.3">
      <c r="A167" s="5" t="s">
        <v>7</v>
      </c>
      <c r="C167" s="17"/>
      <c r="D167" s="26">
        <v>8900</v>
      </c>
      <c r="E167" s="21"/>
    </row>
    <row r="168" spans="1:5" x14ac:dyDescent="0.3">
      <c r="A168" s="3" t="s">
        <v>155</v>
      </c>
      <c r="C168" s="17"/>
      <c r="D168" s="26">
        <v>0</v>
      </c>
      <c r="E168" s="21"/>
    </row>
    <row r="169" spans="1:5" x14ac:dyDescent="0.3">
      <c r="A169" s="5" t="s">
        <v>156</v>
      </c>
      <c r="C169" s="17"/>
      <c r="D169" s="26">
        <v>12232</v>
      </c>
      <c r="E169" s="21"/>
    </row>
    <row r="170" spans="1:5" x14ac:dyDescent="0.3">
      <c r="A170" s="5" t="s">
        <v>84</v>
      </c>
      <c r="C170" s="17"/>
      <c r="D170" s="26">
        <v>16650</v>
      </c>
      <c r="E170" s="21" t="s">
        <v>10</v>
      </c>
    </row>
    <row r="171" spans="1:5" x14ac:dyDescent="0.3">
      <c r="A171" s="5" t="s">
        <v>157</v>
      </c>
      <c r="C171" s="17"/>
      <c r="D171" s="26">
        <v>21090</v>
      </c>
      <c r="E171" s="21" t="s">
        <v>10</v>
      </c>
    </row>
    <row r="172" spans="1:5" x14ac:dyDescent="0.3">
      <c r="A172" s="5" t="s">
        <v>158</v>
      </c>
      <c r="C172" s="17"/>
      <c r="D172" s="26">
        <v>27750</v>
      </c>
      <c r="E172" s="21" t="s">
        <v>10</v>
      </c>
    </row>
    <row r="173" spans="1:5" x14ac:dyDescent="0.3">
      <c r="A173" s="5" t="s">
        <v>159</v>
      </c>
      <c r="C173" s="17"/>
      <c r="D173" s="26">
        <v>32000</v>
      </c>
      <c r="E173" s="21"/>
    </row>
    <row r="174" spans="1:5" x14ac:dyDescent="0.3">
      <c r="A174" s="5" t="s">
        <v>160</v>
      </c>
      <c r="C174" s="17"/>
      <c r="D174" s="26">
        <v>45000</v>
      </c>
      <c r="E174" s="21"/>
    </row>
    <row r="175" spans="1:5" x14ac:dyDescent="0.3">
      <c r="A175" s="5" t="s">
        <v>161</v>
      </c>
      <c r="C175" s="17"/>
      <c r="D175" s="26">
        <v>64000</v>
      </c>
      <c r="E175" s="21"/>
    </row>
    <row r="176" spans="1:5" x14ac:dyDescent="0.3">
      <c r="A176" s="3" t="s">
        <v>162</v>
      </c>
      <c r="C176" s="17"/>
      <c r="D176" s="26">
        <v>0</v>
      </c>
      <c r="E176" s="21"/>
    </row>
    <row r="177" spans="1:5" x14ac:dyDescent="0.3">
      <c r="A177" s="5" t="s">
        <v>163</v>
      </c>
      <c r="C177" s="17"/>
      <c r="D177" s="26">
        <v>61050</v>
      </c>
      <c r="E177" s="21"/>
    </row>
    <row r="178" spans="1:5" x14ac:dyDescent="0.3">
      <c r="A178" s="5" t="s">
        <v>164</v>
      </c>
      <c r="C178" s="17"/>
      <c r="D178" s="26">
        <v>71040</v>
      </c>
      <c r="E178" s="21"/>
    </row>
    <row r="179" spans="1:5" x14ac:dyDescent="0.3">
      <c r="A179" s="3" t="s">
        <v>165</v>
      </c>
      <c r="C179" s="17"/>
      <c r="D179" s="26">
        <v>0</v>
      </c>
      <c r="E179" s="21"/>
    </row>
    <row r="180" spans="1:5" x14ac:dyDescent="0.3">
      <c r="A180" s="5" t="s">
        <v>7</v>
      </c>
      <c r="C180" s="17"/>
      <c r="D180" s="26">
        <v>12210</v>
      </c>
      <c r="E180" s="21"/>
    </row>
    <row r="181" spans="1:5" x14ac:dyDescent="0.3">
      <c r="A181" s="5" t="s">
        <v>166</v>
      </c>
      <c r="C181" s="17"/>
      <c r="D181" s="26">
        <v>31746</v>
      </c>
      <c r="E181" s="21"/>
    </row>
    <row r="182" spans="1:5" x14ac:dyDescent="0.3">
      <c r="A182" s="5" t="s">
        <v>167</v>
      </c>
      <c r="C182" s="17"/>
      <c r="D182" s="26">
        <v>45177</v>
      </c>
      <c r="E182" s="21" t="s">
        <v>10</v>
      </c>
    </row>
    <row r="183" spans="1:5" x14ac:dyDescent="0.3">
      <c r="A183" s="5" t="s">
        <v>168</v>
      </c>
      <c r="C183" s="17"/>
      <c r="D183" s="26">
        <v>74000</v>
      </c>
      <c r="E183" s="21"/>
    </row>
    <row r="184" spans="1:5" x14ac:dyDescent="0.3">
      <c r="A184" s="3" t="s">
        <v>169</v>
      </c>
      <c r="C184" s="17"/>
      <c r="D184" s="26">
        <v>0</v>
      </c>
      <c r="E184" s="21"/>
    </row>
    <row r="185" spans="1:5" x14ac:dyDescent="0.3">
      <c r="A185" s="5" t="s">
        <v>170</v>
      </c>
      <c r="C185" s="17"/>
      <c r="D185" s="26">
        <v>21645</v>
      </c>
      <c r="E185" s="21" t="s">
        <v>10</v>
      </c>
    </row>
    <row r="186" spans="1:5" x14ac:dyDescent="0.3">
      <c r="A186" s="5" t="s">
        <v>171</v>
      </c>
      <c r="C186" s="17"/>
      <c r="D186" s="26">
        <v>34632</v>
      </c>
      <c r="E186" s="21"/>
    </row>
    <row r="187" spans="1:5" x14ac:dyDescent="0.3">
      <c r="A187" s="3" t="s">
        <v>172</v>
      </c>
      <c r="C187" s="17"/>
      <c r="D187" s="26">
        <v>0</v>
      </c>
      <c r="E187" s="21"/>
    </row>
    <row r="188" spans="1:5" x14ac:dyDescent="0.3">
      <c r="A188" s="5" t="s">
        <v>126</v>
      </c>
      <c r="C188" s="17"/>
      <c r="D188" s="26">
        <v>18315</v>
      </c>
      <c r="E188" s="21"/>
    </row>
    <row r="189" spans="1:5" x14ac:dyDescent="0.3">
      <c r="A189" s="5" t="s">
        <v>127</v>
      </c>
      <c r="C189" s="17"/>
      <c r="D189" s="26">
        <v>32967</v>
      </c>
      <c r="E189" s="21"/>
    </row>
    <row r="190" spans="1:5" x14ac:dyDescent="0.3">
      <c r="A190" s="3" t="s">
        <v>173</v>
      </c>
      <c r="C190" s="17"/>
      <c r="D190" s="26" t="s">
        <v>42</v>
      </c>
      <c r="E190" s="21"/>
    </row>
    <row r="191" spans="1:5" x14ac:dyDescent="0.3">
      <c r="A191" s="5" t="s">
        <v>174</v>
      </c>
      <c r="C191" s="17"/>
      <c r="D191" s="26">
        <v>33333.300000000003</v>
      </c>
      <c r="E191" s="21"/>
    </row>
    <row r="192" spans="1:5" x14ac:dyDescent="0.3">
      <c r="A192" s="3" t="s">
        <v>175</v>
      </c>
      <c r="C192" s="17"/>
      <c r="D192" s="26">
        <v>0</v>
      </c>
      <c r="E192" s="21"/>
    </row>
    <row r="193" spans="1:5" x14ac:dyDescent="0.3">
      <c r="A193" s="5" t="s">
        <v>176</v>
      </c>
      <c r="C193" s="17"/>
      <c r="D193" s="26">
        <v>12232</v>
      </c>
      <c r="E193" s="21"/>
    </row>
    <row r="194" spans="1:5" x14ac:dyDescent="0.3">
      <c r="A194" s="5" t="s">
        <v>177</v>
      </c>
      <c r="C194" s="17"/>
      <c r="D194" s="26">
        <v>27000</v>
      </c>
      <c r="E194" s="21"/>
    </row>
    <row r="195" spans="1:5" x14ac:dyDescent="0.3">
      <c r="A195" s="3" t="s">
        <v>178</v>
      </c>
      <c r="C195" s="17"/>
      <c r="D195" s="26">
        <v>0</v>
      </c>
      <c r="E195" s="21"/>
    </row>
    <row r="196" spans="1:5" x14ac:dyDescent="0.3">
      <c r="A196" s="5" t="s">
        <v>179</v>
      </c>
      <c r="C196" s="17"/>
      <c r="D196" s="26">
        <v>12232</v>
      </c>
      <c r="E196" s="21" t="s">
        <v>42</v>
      </c>
    </row>
    <row r="197" spans="1:5" x14ac:dyDescent="0.3">
      <c r="A197" s="5" t="s">
        <v>180</v>
      </c>
      <c r="C197" s="17"/>
      <c r="D197" s="26">
        <v>27000</v>
      </c>
      <c r="E197" s="21"/>
    </row>
    <row r="198" spans="1:5" x14ac:dyDescent="0.3">
      <c r="A198" s="3" t="s">
        <v>181</v>
      </c>
      <c r="C198" s="17"/>
      <c r="D198" s="26">
        <v>0</v>
      </c>
      <c r="E198" s="21"/>
    </row>
    <row r="199" spans="1:5" x14ac:dyDescent="0.3">
      <c r="A199" s="5" t="s">
        <v>126</v>
      </c>
      <c r="C199" s="17"/>
      <c r="D199" s="26">
        <v>12232</v>
      </c>
      <c r="E199" s="21"/>
    </row>
    <row r="200" spans="1:5" x14ac:dyDescent="0.3">
      <c r="A200" s="5" t="s">
        <v>127</v>
      </c>
      <c r="C200" s="17"/>
      <c r="D200" s="26">
        <v>27000</v>
      </c>
      <c r="E200" s="21"/>
    </row>
    <row r="201" spans="1:5" x14ac:dyDescent="0.3">
      <c r="A201" s="3" t="s">
        <v>182</v>
      </c>
      <c r="C201" s="17"/>
      <c r="E201" s="21"/>
    </row>
    <row r="202" spans="1:5" x14ac:dyDescent="0.3">
      <c r="A202" s="5" t="s">
        <v>139</v>
      </c>
      <c r="C202" s="17"/>
      <c r="D202" s="26">
        <v>12232</v>
      </c>
      <c r="E202" s="21"/>
    </row>
    <row r="203" spans="1:5" x14ac:dyDescent="0.3">
      <c r="A203" s="5" t="s">
        <v>183</v>
      </c>
      <c r="C203" s="17"/>
      <c r="D203" s="26">
        <v>27000</v>
      </c>
      <c r="E203" s="21"/>
    </row>
    <row r="204" spans="1:5" x14ac:dyDescent="0.3">
      <c r="A204" s="3" t="s">
        <v>184</v>
      </c>
      <c r="C204" s="17"/>
      <c r="E204" s="21"/>
    </row>
    <row r="205" spans="1:5" x14ac:dyDescent="0.3">
      <c r="A205" s="5" t="s">
        <v>126</v>
      </c>
      <c r="C205" s="17"/>
      <c r="D205" s="26">
        <v>12232</v>
      </c>
      <c r="E205" s="21"/>
    </row>
    <row r="206" spans="1:5" x14ac:dyDescent="0.3">
      <c r="A206" s="5" t="s">
        <v>8</v>
      </c>
      <c r="C206" s="17"/>
      <c r="D206" s="26">
        <v>27000</v>
      </c>
      <c r="E206" s="21"/>
    </row>
    <row r="207" spans="1:5" x14ac:dyDescent="0.3">
      <c r="A207" s="3" t="s">
        <v>185</v>
      </c>
      <c r="C207" s="17"/>
      <c r="E207" s="21"/>
    </row>
    <row r="208" spans="1:5" x14ac:dyDescent="0.3">
      <c r="A208" s="5" t="s">
        <v>186</v>
      </c>
      <c r="C208" s="17"/>
      <c r="D208" s="26">
        <v>12232</v>
      </c>
      <c r="E208" s="21"/>
    </row>
    <row r="209" spans="1:5" x14ac:dyDescent="0.3">
      <c r="A209" s="5" t="s">
        <v>8</v>
      </c>
      <c r="C209" s="17"/>
      <c r="D209" s="26">
        <v>27000</v>
      </c>
      <c r="E209" s="21" t="s">
        <v>10</v>
      </c>
    </row>
    <row r="210" spans="1:5" x14ac:dyDescent="0.3">
      <c r="A210" s="3" t="s">
        <v>187</v>
      </c>
      <c r="C210" s="17"/>
      <c r="E210" s="21"/>
    </row>
    <row r="211" spans="1:5" x14ac:dyDescent="0.3">
      <c r="A211" s="5" t="s">
        <v>188</v>
      </c>
      <c r="C211" s="17"/>
      <c r="D211" s="26">
        <v>9657</v>
      </c>
      <c r="E211" s="21"/>
    </row>
    <row r="212" spans="1:5" x14ac:dyDescent="0.3">
      <c r="A212" s="3" t="s">
        <v>189</v>
      </c>
      <c r="C212" s="17"/>
      <c r="E212" s="21"/>
    </row>
    <row r="213" spans="1:5" x14ac:dyDescent="0.3">
      <c r="A213" s="5" t="s">
        <v>190</v>
      </c>
      <c r="C213" s="17"/>
      <c r="D213" s="26">
        <v>12876</v>
      </c>
      <c r="E213" s="21"/>
    </row>
    <row r="214" spans="1:5" x14ac:dyDescent="0.3">
      <c r="A214" s="5" t="s">
        <v>36</v>
      </c>
      <c r="C214" s="17"/>
      <c r="D214" s="26">
        <v>27000</v>
      </c>
      <c r="E214" s="21"/>
    </row>
    <row r="215" spans="1:5" x14ac:dyDescent="0.3">
      <c r="A215" s="3" t="s">
        <v>191</v>
      </c>
      <c r="C215" s="17"/>
      <c r="D215" s="26">
        <v>0</v>
      </c>
      <c r="E215" s="21"/>
    </row>
    <row r="216" spans="1:5" x14ac:dyDescent="0.3">
      <c r="A216" s="3" t="s">
        <v>192</v>
      </c>
      <c r="C216" s="17"/>
      <c r="D216" s="26">
        <v>12500</v>
      </c>
      <c r="E216" s="21"/>
    </row>
    <row r="217" spans="1:5" x14ac:dyDescent="0.3">
      <c r="A217" s="5" t="s">
        <v>193</v>
      </c>
      <c r="C217" s="17"/>
      <c r="D217" s="26">
        <v>29000</v>
      </c>
      <c r="E217" s="21"/>
    </row>
    <row r="218" spans="1:5" x14ac:dyDescent="0.3">
      <c r="A218" s="5" t="s">
        <v>194</v>
      </c>
      <c r="C218" s="17"/>
      <c r="D218" s="26">
        <v>35000</v>
      </c>
      <c r="E218" s="21"/>
    </row>
    <row r="219" spans="1:5" x14ac:dyDescent="0.3">
      <c r="A219" s="5" t="s">
        <v>195</v>
      </c>
      <c r="C219" s="17"/>
      <c r="D219" s="26">
        <v>137085</v>
      </c>
      <c r="E219" s="21"/>
    </row>
    <row r="220" spans="1:5" x14ac:dyDescent="0.3">
      <c r="A220" s="3" t="s">
        <v>196</v>
      </c>
      <c r="C220" s="17"/>
      <c r="D220" s="26">
        <v>0</v>
      </c>
      <c r="E220" s="21"/>
    </row>
    <row r="221" spans="1:5" x14ac:dyDescent="0.3">
      <c r="A221" s="5" t="s">
        <v>197</v>
      </c>
      <c r="C221" s="17"/>
      <c r="D221" s="26">
        <v>39072</v>
      </c>
      <c r="E221" s="21"/>
    </row>
    <row r="222" spans="1:5" x14ac:dyDescent="0.3">
      <c r="A222" s="5" t="s">
        <v>198</v>
      </c>
      <c r="C222" s="17"/>
      <c r="D222" s="26">
        <v>52000</v>
      </c>
      <c r="E222" s="21"/>
    </row>
    <row r="223" spans="1:5" x14ac:dyDescent="0.3">
      <c r="A223" s="3" t="s">
        <v>199</v>
      </c>
      <c r="C223" s="17"/>
      <c r="D223" s="26">
        <v>0</v>
      </c>
      <c r="E223" s="21"/>
    </row>
    <row r="224" spans="1:5" x14ac:dyDescent="0.3">
      <c r="A224" s="5" t="s">
        <v>200</v>
      </c>
      <c r="C224" s="17"/>
      <c r="D224" s="26">
        <v>22943.7</v>
      </c>
      <c r="E224" s="21" t="s">
        <v>42</v>
      </c>
    </row>
    <row r="225" spans="1:6" x14ac:dyDescent="0.3">
      <c r="A225" s="5" t="s">
        <v>201</v>
      </c>
      <c r="C225" s="17"/>
      <c r="D225" s="26">
        <v>27000</v>
      </c>
      <c r="E225" s="21"/>
    </row>
    <row r="226" spans="1:6" x14ac:dyDescent="0.3">
      <c r="A226" s="5" t="s">
        <v>202</v>
      </c>
      <c r="C226" s="17"/>
      <c r="D226" s="26">
        <v>48000</v>
      </c>
      <c r="E226" s="21"/>
      <c r="F226" t="s">
        <v>42</v>
      </c>
    </row>
    <row r="227" spans="1:6" x14ac:dyDescent="0.3">
      <c r="A227" s="7" t="s">
        <v>203</v>
      </c>
      <c r="B227" s="14"/>
      <c r="C227" s="19"/>
      <c r="D227" s="25">
        <v>47000</v>
      </c>
      <c r="E227" s="24" t="s">
        <v>111</v>
      </c>
    </row>
    <row r="228" spans="1:6" x14ac:dyDescent="0.3">
      <c r="A228" s="3" t="s">
        <v>204</v>
      </c>
      <c r="C228" s="17"/>
      <c r="D228" s="26">
        <v>0</v>
      </c>
      <c r="E228" s="21"/>
    </row>
    <row r="229" spans="1:6" x14ac:dyDescent="0.3">
      <c r="A229" s="5" t="s">
        <v>205</v>
      </c>
      <c r="C229" s="17"/>
      <c r="D229" s="26">
        <v>12232</v>
      </c>
      <c r="E229" s="21" t="s">
        <v>10</v>
      </c>
    </row>
    <row r="230" spans="1:6" x14ac:dyDescent="0.3">
      <c r="A230" s="5" t="s">
        <v>206</v>
      </c>
      <c r="C230" s="17"/>
      <c r="D230" s="26">
        <v>27000</v>
      </c>
      <c r="E230" s="21" t="s">
        <v>10</v>
      </c>
    </row>
    <row r="231" spans="1:6" x14ac:dyDescent="0.3">
      <c r="A231" s="3" t="s">
        <v>207</v>
      </c>
      <c r="C231" s="17"/>
      <c r="D231" s="26">
        <v>0</v>
      </c>
      <c r="E231" s="21"/>
    </row>
    <row r="232" spans="1:6" x14ac:dyDescent="0.3">
      <c r="A232" s="5" t="s">
        <v>208</v>
      </c>
      <c r="C232" s="17"/>
      <c r="D232" s="26">
        <v>12876</v>
      </c>
      <c r="E232" s="21"/>
    </row>
    <row r="233" spans="1:6" x14ac:dyDescent="0.3">
      <c r="A233" s="5" t="s">
        <v>209</v>
      </c>
      <c r="C233" s="17"/>
      <c r="D233" s="26">
        <v>25000</v>
      </c>
      <c r="E233" s="21"/>
    </row>
    <row r="234" spans="1:6" x14ac:dyDescent="0.3">
      <c r="A234" s="3" t="s">
        <v>210</v>
      </c>
      <c r="C234" s="17"/>
      <c r="D234" s="26">
        <v>0</v>
      </c>
      <c r="E234" s="21"/>
    </row>
    <row r="235" spans="1:6" x14ac:dyDescent="0.3">
      <c r="A235" s="5" t="s">
        <v>211</v>
      </c>
      <c r="C235" s="17"/>
      <c r="D235" s="26">
        <v>9900</v>
      </c>
      <c r="E235" s="21"/>
    </row>
    <row r="236" spans="1:6" x14ac:dyDescent="0.3">
      <c r="A236" s="7" t="s">
        <v>212</v>
      </c>
      <c r="C236" s="17"/>
      <c r="D236" s="25">
        <v>9500</v>
      </c>
      <c r="E236" s="24" t="s">
        <v>111</v>
      </c>
    </row>
    <row r="237" spans="1:6" x14ac:dyDescent="0.3">
      <c r="A237" s="3" t="s">
        <v>213</v>
      </c>
      <c r="C237" s="17"/>
      <c r="D237" s="26">
        <v>0</v>
      </c>
      <c r="E237" s="21" t="s">
        <v>42</v>
      </c>
    </row>
    <row r="238" spans="1:6" x14ac:dyDescent="0.3">
      <c r="A238" s="5" t="s">
        <v>214</v>
      </c>
      <c r="C238" s="17"/>
      <c r="D238" s="26">
        <v>12232</v>
      </c>
      <c r="E238" s="21"/>
    </row>
    <row r="239" spans="1:6" x14ac:dyDescent="0.3">
      <c r="A239" s="5" t="s">
        <v>8</v>
      </c>
      <c r="C239" s="17"/>
      <c r="D239" s="26">
        <v>27000</v>
      </c>
      <c r="E239" s="21"/>
    </row>
    <row r="240" spans="1:6" x14ac:dyDescent="0.3">
      <c r="A240" s="5" t="s">
        <v>215</v>
      </c>
      <c r="C240" s="17"/>
      <c r="D240" s="26">
        <v>49000</v>
      </c>
      <c r="E240" s="21"/>
    </row>
    <row r="241" spans="1:5" x14ac:dyDescent="0.3">
      <c r="A241" s="3" t="s">
        <v>216</v>
      </c>
      <c r="C241" s="17"/>
      <c r="D241" s="26">
        <v>0</v>
      </c>
      <c r="E241" s="21"/>
    </row>
    <row r="242" spans="1:5" x14ac:dyDescent="0.3">
      <c r="A242" s="5" t="s">
        <v>126</v>
      </c>
      <c r="C242" s="17"/>
      <c r="D242" s="26">
        <v>12232</v>
      </c>
      <c r="E242" s="21"/>
    </row>
    <row r="243" spans="1:5" x14ac:dyDescent="0.3">
      <c r="A243" s="5" t="s">
        <v>127</v>
      </c>
      <c r="C243" s="17"/>
      <c r="D243" s="26">
        <v>27000</v>
      </c>
      <c r="E243" s="21"/>
    </row>
    <row r="244" spans="1:5" x14ac:dyDescent="0.3">
      <c r="A244" s="5" t="s">
        <v>217</v>
      </c>
      <c r="C244" s="17"/>
      <c r="D244" s="26">
        <v>49000</v>
      </c>
      <c r="E244" s="21"/>
    </row>
    <row r="245" spans="1:5" x14ac:dyDescent="0.3">
      <c r="A245" s="3" t="s">
        <v>218</v>
      </c>
      <c r="C245" s="17"/>
      <c r="D245" s="26">
        <v>0</v>
      </c>
      <c r="E245" s="21"/>
    </row>
    <row r="246" spans="1:5" x14ac:dyDescent="0.3">
      <c r="A246" s="5" t="s">
        <v>126</v>
      </c>
      <c r="C246" s="17"/>
      <c r="D246" s="26">
        <v>16095</v>
      </c>
      <c r="E246" s="21"/>
    </row>
    <row r="247" spans="1:5" x14ac:dyDescent="0.3">
      <c r="A247" s="5" t="s">
        <v>219</v>
      </c>
      <c r="C247" s="17"/>
      <c r="D247" s="26">
        <v>32190</v>
      </c>
      <c r="E247" s="21"/>
    </row>
    <row r="248" spans="1:5" x14ac:dyDescent="0.3">
      <c r="A248" s="3" t="s">
        <v>220</v>
      </c>
      <c r="C248" s="17"/>
      <c r="D248" s="26">
        <v>0</v>
      </c>
      <c r="E248" s="21"/>
    </row>
    <row r="249" spans="1:5" x14ac:dyDescent="0.3">
      <c r="A249" s="3" t="s">
        <v>221</v>
      </c>
      <c r="C249" s="17"/>
      <c r="D249" s="26">
        <v>12232</v>
      </c>
      <c r="E249" s="21" t="s">
        <v>10</v>
      </c>
    </row>
    <row r="250" spans="1:5" x14ac:dyDescent="0.3">
      <c r="A250" s="5" t="s">
        <v>222</v>
      </c>
      <c r="C250" s="17"/>
      <c r="D250" s="26">
        <v>27000</v>
      </c>
      <c r="E250" s="21"/>
    </row>
    <row r="251" spans="1:5" x14ac:dyDescent="0.3">
      <c r="A251" s="7" t="s">
        <v>223</v>
      </c>
      <c r="C251" s="17"/>
      <c r="D251" s="25">
        <v>25000</v>
      </c>
      <c r="E251" s="24" t="s">
        <v>111</v>
      </c>
    </row>
    <row r="252" spans="1:5" x14ac:dyDescent="0.3">
      <c r="A252" s="3" t="s">
        <v>224</v>
      </c>
      <c r="C252" s="17"/>
      <c r="D252" s="26">
        <v>0</v>
      </c>
      <c r="E252" s="21"/>
    </row>
    <row r="253" spans="1:5" x14ac:dyDescent="0.3">
      <c r="A253" s="5" t="s">
        <v>7</v>
      </c>
      <c r="C253" s="17"/>
      <c r="D253" s="26">
        <v>12232</v>
      </c>
      <c r="E253" s="21" t="s">
        <v>42</v>
      </c>
    </row>
    <row r="254" spans="1:5" x14ac:dyDescent="0.3">
      <c r="A254" s="5" t="s">
        <v>8</v>
      </c>
      <c r="C254" s="17"/>
      <c r="D254" s="26">
        <v>27000</v>
      </c>
      <c r="E254" s="21"/>
    </row>
    <row r="255" spans="1:5" x14ac:dyDescent="0.3">
      <c r="A255" s="5" t="s">
        <v>225</v>
      </c>
      <c r="C255" s="17"/>
      <c r="D255" s="26">
        <v>36500</v>
      </c>
      <c r="E255" s="21"/>
    </row>
    <row r="256" spans="1:5" x14ac:dyDescent="0.3">
      <c r="A256" s="3" t="s">
        <v>226</v>
      </c>
      <c r="C256" s="17"/>
      <c r="E256" s="21"/>
    </row>
    <row r="257" spans="1:6" x14ac:dyDescent="0.3">
      <c r="A257" s="5" t="s">
        <v>227</v>
      </c>
      <c r="C257" s="17"/>
      <c r="D257" s="26">
        <v>12232</v>
      </c>
      <c r="E257" s="21"/>
    </row>
    <row r="258" spans="1:6" x14ac:dyDescent="0.3">
      <c r="A258" s="5" t="s">
        <v>228</v>
      </c>
      <c r="C258" s="17"/>
      <c r="D258" s="26">
        <v>27000</v>
      </c>
      <c r="E258" s="21"/>
    </row>
    <row r="259" spans="1:6" x14ac:dyDescent="0.3">
      <c r="A259" s="5" t="s">
        <v>229</v>
      </c>
      <c r="C259" s="17"/>
      <c r="D259" s="26">
        <v>36500</v>
      </c>
      <c r="E259" s="21"/>
    </row>
    <row r="260" spans="1:6" x14ac:dyDescent="0.3">
      <c r="A260" s="3" t="s">
        <v>230</v>
      </c>
      <c r="C260" s="17"/>
      <c r="D260" s="26">
        <v>0</v>
      </c>
      <c r="E260" s="21"/>
    </row>
    <row r="261" spans="1:6" x14ac:dyDescent="0.3">
      <c r="A261" s="5" t="s">
        <v>231</v>
      </c>
      <c r="C261" s="17"/>
      <c r="D261" s="26">
        <v>12232</v>
      </c>
      <c r="E261" s="21"/>
    </row>
    <row r="262" spans="1:6" x14ac:dyDescent="0.3">
      <c r="A262" s="3" t="s">
        <v>232</v>
      </c>
      <c r="C262" s="17"/>
      <c r="D262" s="26">
        <v>0</v>
      </c>
      <c r="E262" s="21"/>
    </row>
    <row r="263" spans="1:6" x14ac:dyDescent="0.3">
      <c r="A263" s="3" t="s">
        <v>233</v>
      </c>
      <c r="C263" s="17"/>
      <c r="D263" s="26">
        <v>8900</v>
      </c>
      <c r="E263" s="21"/>
      <c r="F263" t="s">
        <v>42</v>
      </c>
    </row>
    <row r="264" spans="1:6" x14ac:dyDescent="0.3">
      <c r="A264" s="7" t="s">
        <v>234</v>
      </c>
      <c r="B264" s="14"/>
      <c r="C264" s="19"/>
      <c r="D264" s="25">
        <v>8500</v>
      </c>
      <c r="E264" s="24" t="s">
        <v>111</v>
      </c>
    </row>
    <row r="265" spans="1:6" x14ac:dyDescent="0.3">
      <c r="A265" s="3" t="s">
        <v>235</v>
      </c>
      <c r="C265" s="17"/>
      <c r="D265" s="26">
        <v>0</v>
      </c>
      <c r="E265" s="21"/>
    </row>
    <row r="266" spans="1:6" x14ac:dyDescent="0.3">
      <c r="A266" s="5" t="s">
        <v>236</v>
      </c>
      <c r="C266" s="17"/>
      <c r="D266" s="26">
        <v>12265</v>
      </c>
      <c r="E266" s="21" t="s">
        <v>10</v>
      </c>
    </row>
    <row r="267" spans="1:6" x14ac:dyDescent="0.3">
      <c r="A267" s="5" t="s">
        <v>237</v>
      </c>
      <c r="C267" s="17"/>
      <c r="D267" s="26">
        <v>19000</v>
      </c>
      <c r="E267" s="21" t="s">
        <v>42</v>
      </c>
    </row>
    <row r="268" spans="1:6" x14ac:dyDescent="0.3">
      <c r="A268" s="5" t="s">
        <v>238</v>
      </c>
      <c r="C268" s="17"/>
      <c r="D268" s="26">
        <v>32467.5</v>
      </c>
      <c r="E268" s="21" t="s">
        <v>10</v>
      </c>
    </row>
    <row r="269" spans="1:6" x14ac:dyDescent="0.3">
      <c r="A269" s="3" t="s">
        <v>239</v>
      </c>
      <c r="C269" s="17"/>
      <c r="D269" s="26">
        <v>0</v>
      </c>
      <c r="E269" s="21"/>
    </row>
    <row r="270" spans="1:6" x14ac:dyDescent="0.3">
      <c r="A270" s="7" t="s">
        <v>240</v>
      </c>
      <c r="C270" s="17"/>
      <c r="D270" s="25">
        <v>25000</v>
      </c>
      <c r="E270" s="24" t="s">
        <v>111</v>
      </c>
    </row>
    <row r="271" spans="1:6" x14ac:dyDescent="0.3">
      <c r="A271" s="5" t="s">
        <v>241</v>
      </c>
      <c r="C271" s="17"/>
      <c r="D271" s="26">
        <v>28715.7</v>
      </c>
      <c r="E271" s="21"/>
    </row>
    <row r="272" spans="1:6" x14ac:dyDescent="0.3">
      <c r="A272" s="5" t="s">
        <v>242</v>
      </c>
      <c r="C272" s="17"/>
      <c r="D272" s="26">
        <v>59163</v>
      </c>
      <c r="E272" s="21" t="s">
        <v>10</v>
      </c>
    </row>
    <row r="273" spans="1:5" x14ac:dyDescent="0.3">
      <c r="A273" s="3" t="s">
        <v>243</v>
      </c>
      <c r="C273" s="17"/>
      <c r="D273" s="26">
        <v>0</v>
      </c>
      <c r="E273" s="21"/>
    </row>
    <row r="274" spans="1:5" x14ac:dyDescent="0.3">
      <c r="A274" s="5" t="s">
        <v>61</v>
      </c>
      <c r="C274" s="17"/>
      <c r="D274" s="26">
        <v>8900</v>
      </c>
      <c r="E274" s="21" t="s">
        <v>42</v>
      </c>
    </row>
    <row r="275" spans="1:5" x14ac:dyDescent="0.3">
      <c r="A275" s="7" t="s">
        <v>77</v>
      </c>
      <c r="C275" s="17"/>
      <c r="D275" s="25">
        <v>8500</v>
      </c>
      <c r="E275" s="24" t="s">
        <v>111</v>
      </c>
    </row>
    <row r="276" spans="1:5" x14ac:dyDescent="0.3">
      <c r="A276" s="3" t="s">
        <v>244</v>
      </c>
      <c r="C276" s="17"/>
      <c r="D276" s="26">
        <v>0</v>
      </c>
      <c r="E276" s="21"/>
    </row>
    <row r="277" spans="1:5" x14ac:dyDescent="0.3">
      <c r="A277" s="5" t="s">
        <v>7</v>
      </c>
      <c r="C277" s="17"/>
      <c r="D277" s="26">
        <v>12232</v>
      </c>
      <c r="E277" s="21"/>
    </row>
    <row r="278" spans="1:5" x14ac:dyDescent="0.3">
      <c r="A278" s="5" t="s">
        <v>245</v>
      </c>
      <c r="C278" s="17"/>
      <c r="D278" s="26">
        <v>27000</v>
      </c>
      <c r="E278" s="21"/>
    </row>
    <row r="279" spans="1:5" x14ac:dyDescent="0.3">
      <c r="A279" s="3" t="s">
        <v>246</v>
      </c>
      <c r="C279" s="17"/>
      <c r="D279" s="26">
        <v>0</v>
      </c>
      <c r="E279" s="21"/>
    </row>
    <row r="280" spans="1:5" x14ac:dyDescent="0.3">
      <c r="A280" s="5" t="s">
        <v>126</v>
      </c>
      <c r="C280" s="17"/>
      <c r="D280" s="26">
        <v>12232</v>
      </c>
      <c r="E280" s="21"/>
    </row>
    <row r="281" spans="1:5" x14ac:dyDescent="0.3">
      <c r="A281" s="3" t="s">
        <v>247</v>
      </c>
      <c r="C281" s="17"/>
      <c r="D281" s="26">
        <v>0</v>
      </c>
      <c r="E281" s="21"/>
    </row>
    <row r="282" spans="1:5" x14ac:dyDescent="0.3">
      <c r="A282" s="5" t="s">
        <v>248</v>
      </c>
      <c r="C282" s="17"/>
      <c r="D282" s="26">
        <v>25000</v>
      </c>
      <c r="E282" s="21"/>
    </row>
    <row r="283" spans="1:5" x14ac:dyDescent="0.3">
      <c r="A283" s="5" t="s">
        <v>249</v>
      </c>
      <c r="C283" s="17"/>
      <c r="D283" s="26">
        <v>40000</v>
      </c>
      <c r="E283" s="21"/>
    </row>
    <row r="284" spans="1:5" x14ac:dyDescent="0.3">
      <c r="A284" s="5" t="s">
        <v>250</v>
      </c>
      <c r="C284" s="17"/>
      <c r="D284" s="26">
        <v>55000</v>
      </c>
      <c r="E284" s="21"/>
    </row>
    <row r="285" spans="1:5" x14ac:dyDescent="0.3">
      <c r="A285" s="5" t="s">
        <v>251</v>
      </c>
      <c r="C285" s="17"/>
      <c r="D285" s="26">
        <v>75000</v>
      </c>
      <c r="E285" s="21"/>
    </row>
    <row r="286" spans="1:5" x14ac:dyDescent="0.3">
      <c r="A286" s="3" t="s">
        <v>252</v>
      </c>
      <c r="C286" s="17"/>
      <c r="D286" s="26">
        <v>0</v>
      </c>
      <c r="E286" s="21"/>
    </row>
    <row r="287" spans="1:5" x14ac:dyDescent="0.3">
      <c r="A287" s="3" t="s">
        <v>253</v>
      </c>
      <c r="C287" s="17"/>
      <c r="D287" s="26">
        <v>40000</v>
      </c>
      <c r="E287" s="21"/>
    </row>
    <row r="288" spans="1:5" x14ac:dyDescent="0.3">
      <c r="A288" s="5" t="s">
        <v>254</v>
      </c>
      <c r="C288" s="17"/>
      <c r="D288" s="26">
        <v>63000</v>
      </c>
      <c r="E288" s="21"/>
    </row>
    <row r="289" spans="1:5" x14ac:dyDescent="0.3">
      <c r="A289" s="3" t="s">
        <v>255</v>
      </c>
      <c r="C289" s="17"/>
      <c r="D289" s="26">
        <v>0</v>
      </c>
      <c r="E289" s="21"/>
    </row>
    <row r="290" spans="1:5" x14ac:dyDescent="0.3">
      <c r="A290" s="5" t="s">
        <v>256</v>
      </c>
      <c r="C290" s="17"/>
      <c r="D290" s="26">
        <v>50000</v>
      </c>
      <c r="E290" s="21"/>
    </row>
    <row r="291" spans="1:5" x14ac:dyDescent="0.3">
      <c r="A291" s="5" t="s">
        <v>257</v>
      </c>
      <c r="C291" s="17"/>
      <c r="D291" s="26">
        <v>67000</v>
      </c>
      <c r="E291" s="21"/>
    </row>
    <row r="292" spans="1:5" x14ac:dyDescent="0.3">
      <c r="A292" s="3" t="s">
        <v>258</v>
      </c>
      <c r="C292" s="17"/>
      <c r="D292" s="26">
        <v>0</v>
      </c>
      <c r="E292" s="21"/>
    </row>
    <row r="293" spans="1:5" x14ac:dyDescent="0.3">
      <c r="A293" s="5" t="s">
        <v>174</v>
      </c>
      <c r="C293" s="17"/>
      <c r="D293" s="26">
        <v>8900</v>
      </c>
      <c r="E293" s="21"/>
    </row>
    <row r="294" spans="1:5" x14ac:dyDescent="0.3">
      <c r="A294" s="3" t="s">
        <v>259</v>
      </c>
      <c r="C294" s="17"/>
      <c r="D294" s="26">
        <v>0</v>
      </c>
      <c r="E294" s="21"/>
    </row>
    <row r="295" spans="1:5" x14ac:dyDescent="0.3">
      <c r="A295" s="5" t="s">
        <v>260</v>
      </c>
      <c r="C295" s="17"/>
      <c r="D295" s="26">
        <v>52000</v>
      </c>
      <c r="E295" s="21"/>
    </row>
    <row r="296" spans="1:5" x14ac:dyDescent="0.3">
      <c r="A296" s="3" t="s">
        <v>261</v>
      </c>
      <c r="C296" s="17"/>
      <c r="D296" s="26">
        <v>0</v>
      </c>
      <c r="E296" s="21"/>
    </row>
    <row r="297" spans="1:5" x14ac:dyDescent="0.3">
      <c r="A297" s="5" t="s">
        <v>262</v>
      </c>
      <c r="C297" s="17"/>
      <c r="D297" s="26">
        <v>12232</v>
      </c>
      <c r="E297" s="21"/>
    </row>
    <row r="298" spans="1:5" x14ac:dyDescent="0.3">
      <c r="A298" s="3" t="s">
        <v>263</v>
      </c>
      <c r="C298" s="17"/>
      <c r="D298" s="26">
        <v>0</v>
      </c>
      <c r="E298" s="21"/>
    </row>
    <row r="299" spans="1:5" x14ac:dyDescent="0.3">
      <c r="A299" s="5" t="s">
        <v>264</v>
      </c>
      <c r="C299" s="17"/>
      <c r="D299" s="26">
        <v>40000</v>
      </c>
      <c r="E299" s="21"/>
    </row>
    <row r="300" spans="1:5" x14ac:dyDescent="0.3">
      <c r="A300" s="5" t="s">
        <v>265</v>
      </c>
      <c r="C300" s="17"/>
      <c r="D300" s="26">
        <v>80000</v>
      </c>
      <c r="E300" s="21"/>
    </row>
    <row r="301" spans="1:5" x14ac:dyDescent="0.3">
      <c r="A301" s="3" t="s">
        <v>266</v>
      </c>
      <c r="C301" s="17"/>
      <c r="D301" s="26">
        <v>0</v>
      </c>
      <c r="E301" s="21"/>
    </row>
    <row r="302" spans="1:5" x14ac:dyDescent="0.3">
      <c r="A302" s="5" t="s">
        <v>267</v>
      </c>
      <c r="C302" s="17"/>
      <c r="D302" s="26">
        <v>40000</v>
      </c>
      <c r="E302" s="21" t="s">
        <v>42</v>
      </c>
    </row>
    <row r="303" spans="1:5" x14ac:dyDescent="0.3">
      <c r="A303" s="5" t="s">
        <v>268</v>
      </c>
      <c r="C303" s="17"/>
      <c r="D303" s="26">
        <v>75000</v>
      </c>
      <c r="E303" s="21"/>
    </row>
    <row r="304" spans="1:5" x14ac:dyDescent="0.3">
      <c r="A304" s="3" t="s">
        <v>269</v>
      </c>
      <c r="C304" s="17"/>
      <c r="D304" s="26">
        <v>0</v>
      </c>
      <c r="E304" s="21"/>
    </row>
    <row r="305" spans="1:6" x14ac:dyDescent="0.3">
      <c r="A305" s="5" t="s">
        <v>270</v>
      </c>
      <c r="C305" s="17"/>
      <c r="D305" s="26">
        <v>9900</v>
      </c>
      <c r="E305" s="21"/>
    </row>
    <row r="306" spans="1:6" x14ac:dyDescent="0.3">
      <c r="A306" s="3" t="s">
        <v>271</v>
      </c>
      <c r="C306" s="17"/>
      <c r="D306" s="26" t="s">
        <v>42</v>
      </c>
      <c r="E306" s="21"/>
    </row>
    <row r="307" spans="1:6" x14ac:dyDescent="0.3">
      <c r="A307" s="5" t="s">
        <v>151</v>
      </c>
      <c r="C307" s="17"/>
      <c r="D307" s="26">
        <v>18741.018</v>
      </c>
      <c r="E307" s="21" t="s">
        <v>10</v>
      </c>
    </row>
    <row r="308" spans="1:6" x14ac:dyDescent="0.3">
      <c r="A308" s="3" t="s">
        <v>272</v>
      </c>
      <c r="C308" s="17"/>
      <c r="D308" s="26" t="s">
        <v>42</v>
      </c>
      <c r="E308" s="21"/>
    </row>
    <row r="309" spans="1:6" x14ac:dyDescent="0.3">
      <c r="A309" s="5" t="s">
        <v>273</v>
      </c>
      <c r="C309" s="17"/>
      <c r="D309" s="26">
        <v>12232</v>
      </c>
      <c r="E309" s="21"/>
    </row>
    <row r="310" spans="1:6" x14ac:dyDescent="0.3">
      <c r="A310" s="7" t="s">
        <v>274</v>
      </c>
      <c r="B310" s="14"/>
      <c r="C310" s="19"/>
      <c r="D310" s="25">
        <v>11500</v>
      </c>
      <c r="E310" s="24" t="s">
        <v>111</v>
      </c>
      <c r="F310" t="s">
        <v>275</v>
      </c>
    </row>
    <row r="311" spans="1:6" x14ac:dyDescent="0.3">
      <c r="A311" s="3" t="s">
        <v>276</v>
      </c>
      <c r="C311" s="17"/>
      <c r="D311" s="26">
        <v>0</v>
      </c>
      <c r="E311" s="21"/>
    </row>
    <row r="312" spans="1:6" x14ac:dyDescent="0.3">
      <c r="A312" s="5" t="s">
        <v>277</v>
      </c>
      <c r="C312" s="17"/>
      <c r="D312" s="26">
        <v>25000</v>
      </c>
      <c r="E312" s="21"/>
    </row>
    <row r="313" spans="1:6" x14ac:dyDescent="0.3">
      <c r="A313" s="7" t="s">
        <v>278</v>
      </c>
      <c r="C313" s="17"/>
      <c r="D313" s="25">
        <v>24000</v>
      </c>
      <c r="E313" s="24" t="s">
        <v>111</v>
      </c>
    </row>
    <row r="314" spans="1:6" x14ac:dyDescent="0.3">
      <c r="A314" s="3" t="s">
        <v>279</v>
      </c>
      <c r="C314" s="17"/>
      <c r="D314" s="26">
        <v>0</v>
      </c>
      <c r="E314" s="21"/>
    </row>
    <row r="315" spans="1:6" x14ac:dyDescent="0.3">
      <c r="A315" s="5" t="s">
        <v>7</v>
      </c>
      <c r="C315" s="17"/>
      <c r="D315" s="26">
        <v>12232</v>
      </c>
      <c r="E315" s="21"/>
    </row>
    <row r="316" spans="1:6" x14ac:dyDescent="0.3">
      <c r="A316" s="3" t="s">
        <v>280</v>
      </c>
      <c r="C316" s="17"/>
      <c r="D316" s="26">
        <v>0</v>
      </c>
      <c r="E316" s="21"/>
    </row>
    <row r="317" spans="1:6" x14ac:dyDescent="0.3">
      <c r="A317" s="5" t="s">
        <v>281</v>
      </c>
      <c r="C317" s="17"/>
      <c r="D317" s="26">
        <v>37018.5</v>
      </c>
      <c r="E317" s="21" t="s">
        <v>10</v>
      </c>
    </row>
    <row r="318" spans="1:6" x14ac:dyDescent="0.3">
      <c r="A318" s="5" t="s">
        <v>282</v>
      </c>
      <c r="C318" s="17"/>
      <c r="D318" s="26">
        <v>49000</v>
      </c>
      <c r="E318" s="21"/>
    </row>
    <row r="319" spans="1:6" x14ac:dyDescent="0.3">
      <c r="A319" s="5" t="s">
        <v>283</v>
      </c>
      <c r="C319" s="17"/>
      <c r="D319" s="26">
        <v>90000</v>
      </c>
      <c r="E319" s="21"/>
    </row>
    <row r="320" spans="1:6" x14ac:dyDescent="0.3">
      <c r="A320" s="3" t="s">
        <v>284</v>
      </c>
      <c r="C320" s="17"/>
      <c r="D320" s="26">
        <v>0</v>
      </c>
      <c r="E320" s="21"/>
    </row>
    <row r="321" spans="1:5" x14ac:dyDescent="0.3">
      <c r="A321" s="5" t="s">
        <v>285</v>
      </c>
      <c r="C321" s="17"/>
      <c r="D321" s="26">
        <v>17704.5</v>
      </c>
      <c r="E321" s="21"/>
    </row>
    <row r="322" spans="1:5" x14ac:dyDescent="0.3">
      <c r="A322" s="5" t="s">
        <v>286</v>
      </c>
      <c r="C322" s="17"/>
      <c r="D322" s="26">
        <v>44000</v>
      </c>
      <c r="E322" s="21"/>
    </row>
    <row r="323" spans="1:5" x14ac:dyDescent="0.3">
      <c r="A323" s="5" t="s">
        <v>287</v>
      </c>
      <c r="C323" s="17"/>
      <c r="D323" s="26">
        <v>96570</v>
      </c>
      <c r="E323" s="21" t="s">
        <v>10</v>
      </c>
    </row>
    <row r="324" spans="1:5" x14ac:dyDescent="0.3">
      <c r="A324" s="5" t="s">
        <v>288</v>
      </c>
      <c r="C324" s="17"/>
      <c r="D324" s="26">
        <v>99000</v>
      </c>
      <c r="E324" s="21"/>
    </row>
    <row r="325" spans="1:5" x14ac:dyDescent="0.3">
      <c r="A325" s="3" t="s">
        <v>289</v>
      </c>
      <c r="C325" s="17"/>
      <c r="D325" s="26">
        <v>0</v>
      </c>
      <c r="E325" s="21"/>
    </row>
    <row r="326" spans="1:5" x14ac:dyDescent="0.3">
      <c r="A326" s="5" t="s">
        <v>290</v>
      </c>
      <c r="C326" s="17"/>
      <c r="D326" s="26">
        <v>12232</v>
      </c>
      <c r="E326" s="21"/>
    </row>
    <row r="327" spans="1:5" x14ac:dyDescent="0.3">
      <c r="A327" s="7" t="s">
        <v>278</v>
      </c>
      <c r="C327" s="17"/>
      <c r="D327" s="25">
        <v>11500</v>
      </c>
      <c r="E327" s="24" t="s">
        <v>111</v>
      </c>
    </row>
    <row r="328" spans="1:5" x14ac:dyDescent="0.3">
      <c r="A328" s="3" t="s">
        <v>291</v>
      </c>
      <c r="C328" s="17"/>
      <c r="D328" s="26">
        <v>0</v>
      </c>
      <c r="E328" s="21"/>
    </row>
    <row r="329" spans="1:5" x14ac:dyDescent="0.3">
      <c r="A329" s="5" t="s">
        <v>292</v>
      </c>
      <c r="C329" s="17"/>
      <c r="D329" s="26">
        <v>15084.234</v>
      </c>
      <c r="E329" s="21" t="s">
        <v>10</v>
      </c>
    </row>
    <row r="330" spans="1:5" x14ac:dyDescent="0.3">
      <c r="A330" s="3" t="s">
        <v>293</v>
      </c>
      <c r="C330" s="17"/>
      <c r="D330" s="26">
        <v>0</v>
      </c>
      <c r="E330" s="21"/>
    </row>
    <row r="331" spans="1:5" x14ac:dyDescent="0.3">
      <c r="A331" s="5" t="s">
        <v>190</v>
      </c>
      <c r="C331" s="17"/>
      <c r="D331" s="26">
        <v>12232</v>
      </c>
      <c r="E331" s="21"/>
    </row>
    <row r="332" spans="1:5" x14ac:dyDescent="0.3">
      <c r="A332" s="5" t="s">
        <v>294</v>
      </c>
      <c r="C332" s="17"/>
      <c r="D332" s="26">
        <v>28000</v>
      </c>
      <c r="E332" s="21"/>
    </row>
    <row r="333" spans="1:5" x14ac:dyDescent="0.3">
      <c r="A333" s="7" t="s">
        <v>295</v>
      </c>
      <c r="C333" s="17"/>
      <c r="D333" s="25">
        <v>27000</v>
      </c>
      <c r="E333" s="24" t="s">
        <v>111</v>
      </c>
    </row>
    <row r="334" spans="1:5" x14ac:dyDescent="0.3">
      <c r="A334" s="3" t="s">
        <v>296</v>
      </c>
      <c r="C334" s="17"/>
      <c r="D334" s="26">
        <v>0</v>
      </c>
      <c r="E334" s="21"/>
    </row>
    <row r="335" spans="1:5" x14ac:dyDescent="0.3">
      <c r="A335" s="3" t="s">
        <v>297</v>
      </c>
      <c r="C335" s="17"/>
      <c r="D335" s="26">
        <v>12232</v>
      </c>
      <c r="E335" s="21"/>
    </row>
    <row r="336" spans="1:5" x14ac:dyDescent="0.3">
      <c r="A336" s="7" t="s">
        <v>298</v>
      </c>
      <c r="C336" s="17"/>
      <c r="D336" s="25">
        <v>11500</v>
      </c>
      <c r="E336" s="24" t="s">
        <v>111</v>
      </c>
    </row>
    <row r="337" spans="1:6" x14ac:dyDescent="0.3">
      <c r="A337" s="5" t="s">
        <v>299</v>
      </c>
      <c r="C337" s="17"/>
      <c r="D337" s="26">
        <v>28000</v>
      </c>
      <c r="E337" s="21"/>
      <c r="F337" t="s">
        <v>42</v>
      </c>
    </row>
    <row r="338" spans="1:6" x14ac:dyDescent="0.3">
      <c r="A338" s="7" t="s">
        <v>300</v>
      </c>
      <c r="C338" s="17"/>
      <c r="D338" s="25">
        <v>27000</v>
      </c>
      <c r="E338" s="24" t="s">
        <v>111</v>
      </c>
    </row>
    <row r="339" spans="1:6" x14ac:dyDescent="0.3">
      <c r="A339" s="3" t="s">
        <v>301</v>
      </c>
      <c r="C339" s="17"/>
      <c r="D339" s="26">
        <v>0</v>
      </c>
      <c r="E339" s="21"/>
    </row>
    <row r="340" spans="1:6" x14ac:dyDescent="0.3">
      <c r="A340" s="5" t="s">
        <v>302</v>
      </c>
      <c r="C340" s="17"/>
      <c r="D340" s="26">
        <v>24142.5</v>
      </c>
      <c r="E340" s="21" t="s">
        <v>10</v>
      </c>
    </row>
    <row r="341" spans="1:6" x14ac:dyDescent="0.3">
      <c r="A341" s="5" t="s">
        <v>303</v>
      </c>
      <c r="C341" s="17"/>
      <c r="D341" s="26">
        <v>40000</v>
      </c>
      <c r="E341" s="21" t="s">
        <v>42</v>
      </c>
    </row>
    <row r="342" spans="1:6" x14ac:dyDescent="0.3">
      <c r="A342" s="3" t="s">
        <v>304</v>
      </c>
      <c r="C342" s="17"/>
      <c r="D342" s="26">
        <v>0</v>
      </c>
      <c r="E342" s="21"/>
    </row>
    <row r="343" spans="1:6" x14ac:dyDescent="0.3">
      <c r="A343" s="5" t="s">
        <v>305</v>
      </c>
      <c r="C343" s="17"/>
      <c r="D343" s="26">
        <v>15084.234</v>
      </c>
      <c r="E343" s="21"/>
    </row>
    <row r="344" spans="1:6" x14ac:dyDescent="0.3">
      <c r="A344" s="3" t="s">
        <v>306</v>
      </c>
      <c r="C344" s="17"/>
      <c r="D344" s="26">
        <v>0</v>
      </c>
      <c r="E344" s="21"/>
    </row>
    <row r="345" spans="1:6" x14ac:dyDescent="0.3">
      <c r="A345" s="5" t="s">
        <v>7</v>
      </c>
      <c r="C345" s="17"/>
      <c r="D345" s="26">
        <v>12232</v>
      </c>
      <c r="E345" s="21" t="s">
        <v>42</v>
      </c>
    </row>
    <row r="346" spans="1:6" x14ac:dyDescent="0.3">
      <c r="A346" s="5" t="s">
        <v>171</v>
      </c>
      <c r="C346" s="17"/>
      <c r="D346" s="26">
        <v>27000</v>
      </c>
      <c r="E346" s="21"/>
    </row>
    <row r="347" spans="1:6" x14ac:dyDescent="0.3">
      <c r="A347" s="5" t="s">
        <v>307</v>
      </c>
      <c r="C347" s="17"/>
      <c r="D347" s="26">
        <v>38949.9</v>
      </c>
      <c r="E347" s="21" t="s">
        <v>10</v>
      </c>
    </row>
    <row r="348" spans="1:6" x14ac:dyDescent="0.3">
      <c r="A348" s="3" t="s">
        <v>308</v>
      </c>
      <c r="C348" s="17"/>
      <c r="D348" s="26" t="s">
        <v>42</v>
      </c>
      <c r="E348" s="21"/>
    </row>
    <row r="349" spans="1:6" x14ac:dyDescent="0.3">
      <c r="A349" s="5" t="s">
        <v>309</v>
      </c>
      <c r="C349" s="17"/>
      <c r="D349" s="26">
        <v>8900</v>
      </c>
      <c r="E349" s="21"/>
    </row>
    <row r="350" spans="1:6" x14ac:dyDescent="0.3">
      <c r="A350" s="7" t="s">
        <v>310</v>
      </c>
      <c r="C350" s="17"/>
      <c r="D350" s="25">
        <v>8500</v>
      </c>
      <c r="E350" s="24" t="s">
        <v>111</v>
      </c>
    </row>
    <row r="351" spans="1:6" x14ac:dyDescent="0.3">
      <c r="A351" s="3" t="s">
        <v>311</v>
      </c>
      <c r="C351" s="17"/>
      <c r="D351" s="26">
        <v>0</v>
      </c>
      <c r="E351" s="21"/>
    </row>
    <row r="352" spans="1:6" x14ac:dyDescent="0.3">
      <c r="A352" s="5" t="s">
        <v>312</v>
      </c>
      <c r="C352" s="17"/>
      <c r="D352" s="26">
        <v>16117</v>
      </c>
      <c r="E352" s="21" t="s">
        <v>10</v>
      </c>
    </row>
    <row r="353" spans="1:5" x14ac:dyDescent="0.3">
      <c r="A353" s="5" t="s">
        <v>313</v>
      </c>
      <c r="C353" s="17"/>
      <c r="D353" s="26">
        <v>32190</v>
      </c>
      <c r="E353" s="21"/>
    </row>
    <row r="354" spans="1:5" x14ac:dyDescent="0.3">
      <c r="A354" s="5" t="s">
        <v>314</v>
      </c>
      <c r="C354" s="17"/>
      <c r="D354" s="26">
        <v>40293</v>
      </c>
      <c r="E354" s="21" t="s">
        <v>10</v>
      </c>
    </row>
    <row r="355" spans="1:5" x14ac:dyDescent="0.3">
      <c r="A355" s="3" t="s">
        <v>315</v>
      </c>
      <c r="C355" s="17"/>
      <c r="D355" s="26">
        <v>0</v>
      </c>
      <c r="E355" s="21"/>
    </row>
    <row r="356" spans="1:5" x14ac:dyDescent="0.3">
      <c r="A356" s="5" t="s">
        <v>316</v>
      </c>
      <c r="C356" s="17"/>
      <c r="D356" s="26">
        <v>72000</v>
      </c>
      <c r="E356" s="21" t="s">
        <v>42</v>
      </c>
    </row>
    <row r="357" spans="1:5" x14ac:dyDescent="0.3">
      <c r="A357" s="3" t="s">
        <v>317</v>
      </c>
      <c r="C357" s="17"/>
      <c r="D357" s="26">
        <v>0</v>
      </c>
      <c r="E357" s="21"/>
    </row>
    <row r="358" spans="1:5" x14ac:dyDescent="0.3">
      <c r="A358" s="5" t="s">
        <v>126</v>
      </c>
      <c r="C358" s="17"/>
      <c r="D358" s="26">
        <v>9279</v>
      </c>
      <c r="E358" s="21" t="s">
        <v>10</v>
      </c>
    </row>
    <row r="359" spans="1:5" x14ac:dyDescent="0.3">
      <c r="A359" s="3" t="s">
        <v>318</v>
      </c>
      <c r="C359" s="17"/>
      <c r="D359" s="26" t="s">
        <v>42</v>
      </c>
      <c r="E359" s="21"/>
    </row>
    <row r="360" spans="1:5" x14ac:dyDescent="0.3">
      <c r="A360" s="5" t="s">
        <v>7</v>
      </c>
      <c r="C360" s="17"/>
      <c r="D360" s="26">
        <v>9279</v>
      </c>
      <c r="E360" s="21" t="s">
        <v>10</v>
      </c>
    </row>
    <row r="361" spans="1:5" x14ac:dyDescent="0.3">
      <c r="A361" s="3" t="s">
        <v>319</v>
      </c>
      <c r="C361" s="17"/>
      <c r="D361" s="26">
        <v>0</v>
      </c>
      <c r="E361" s="21"/>
    </row>
    <row r="362" spans="1:5" x14ac:dyDescent="0.3">
      <c r="A362" s="5" t="s">
        <v>320</v>
      </c>
      <c r="C362" s="17"/>
      <c r="D362" s="26">
        <v>101398.5</v>
      </c>
      <c r="E362" s="21" t="s">
        <v>10</v>
      </c>
    </row>
    <row r="363" spans="1:5" x14ac:dyDescent="0.3">
      <c r="A363" s="5" t="s">
        <v>321</v>
      </c>
      <c r="C363" s="17"/>
      <c r="D363" s="26">
        <v>144855</v>
      </c>
      <c r="E363" s="21" t="s">
        <v>10</v>
      </c>
    </row>
    <row r="364" spans="1:5" x14ac:dyDescent="0.3">
      <c r="A364" s="3" t="s">
        <v>322</v>
      </c>
      <c r="C364" s="17"/>
      <c r="D364" s="26" t="s">
        <v>42</v>
      </c>
      <c r="E364" s="21"/>
    </row>
    <row r="365" spans="1:5" x14ac:dyDescent="0.3">
      <c r="A365" s="5" t="s">
        <v>323</v>
      </c>
      <c r="C365" s="17"/>
      <c r="D365" s="26">
        <v>19047</v>
      </c>
      <c r="E365" s="21" t="s">
        <v>10</v>
      </c>
    </row>
    <row r="366" spans="1:5" x14ac:dyDescent="0.3">
      <c r="A366" s="5" t="s">
        <v>324</v>
      </c>
      <c r="C366" s="17"/>
      <c r="D366" s="26">
        <v>60000</v>
      </c>
      <c r="E366" s="21"/>
    </row>
    <row r="367" spans="1:5" x14ac:dyDescent="0.3">
      <c r="A367" s="5" t="s">
        <v>325</v>
      </c>
      <c r="C367" s="17"/>
      <c r="D367" s="26">
        <v>99000</v>
      </c>
      <c r="E367" s="21" t="s">
        <v>42</v>
      </c>
    </row>
    <row r="368" spans="1:5" x14ac:dyDescent="0.3">
      <c r="A368" s="3" t="s">
        <v>326</v>
      </c>
      <c r="C368" s="17"/>
      <c r="D368" s="26">
        <v>0</v>
      </c>
      <c r="E368" s="21"/>
    </row>
    <row r="369" spans="1:6" x14ac:dyDescent="0.3">
      <c r="A369" s="5" t="s">
        <v>327</v>
      </c>
      <c r="C369" s="17"/>
      <c r="D369" s="26">
        <v>39000</v>
      </c>
      <c r="E369" s="21"/>
    </row>
    <row r="370" spans="1:6" x14ac:dyDescent="0.3">
      <c r="A370" s="7" t="s">
        <v>328</v>
      </c>
      <c r="C370" s="17"/>
      <c r="D370" s="25">
        <v>37000</v>
      </c>
      <c r="E370" s="24" t="s">
        <v>111</v>
      </c>
    </row>
    <row r="371" spans="1:6" x14ac:dyDescent="0.3">
      <c r="A371" s="3" t="s">
        <v>329</v>
      </c>
      <c r="C371" s="17"/>
      <c r="D371" s="26">
        <v>0</v>
      </c>
      <c r="E371" s="21"/>
    </row>
    <row r="372" spans="1:6" x14ac:dyDescent="0.3">
      <c r="A372" s="5" t="s">
        <v>7</v>
      </c>
      <c r="C372" s="17"/>
      <c r="D372" s="26">
        <v>12232</v>
      </c>
      <c r="E372" s="21"/>
    </row>
    <row r="373" spans="1:6" x14ac:dyDescent="0.3">
      <c r="A373" s="5" t="s">
        <v>8</v>
      </c>
      <c r="C373" s="17"/>
      <c r="D373" s="26">
        <v>27000</v>
      </c>
      <c r="E373" s="21"/>
    </row>
    <row r="374" spans="1:6" x14ac:dyDescent="0.3">
      <c r="A374" s="3" t="s">
        <v>330</v>
      </c>
      <c r="C374" s="17"/>
      <c r="D374" s="26">
        <v>0</v>
      </c>
      <c r="E374" s="21"/>
    </row>
    <row r="375" spans="1:6" x14ac:dyDescent="0.3">
      <c r="A375" s="5" t="s">
        <v>331</v>
      </c>
      <c r="C375" s="17"/>
      <c r="D375" s="26">
        <v>12232</v>
      </c>
      <c r="E375" s="21"/>
    </row>
    <row r="376" spans="1:6" x14ac:dyDescent="0.3">
      <c r="A376" s="5" t="s">
        <v>332</v>
      </c>
      <c r="C376" s="17"/>
      <c r="D376" s="26">
        <v>27000</v>
      </c>
      <c r="E376" s="21"/>
    </row>
    <row r="377" spans="1:6" x14ac:dyDescent="0.3">
      <c r="A377" s="5" t="s">
        <v>333</v>
      </c>
      <c r="C377" s="17"/>
      <c r="D377" s="26">
        <v>36500</v>
      </c>
      <c r="E377" s="21"/>
    </row>
    <row r="378" spans="1:6" x14ac:dyDescent="0.3">
      <c r="A378" s="5" t="s">
        <v>334</v>
      </c>
      <c r="C378" s="17"/>
      <c r="D378" s="26">
        <v>49000</v>
      </c>
      <c r="E378" s="21" t="s">
        <v>42</v>
      </c>
    </row>
    <row r="379" spans="1:6" x14ac:dyDescent="0.3">
      <c r="A379" s="5" t="s">
        <v>335</v>
      </c>
      <c r="C379" s="17"/>
      <c r="D379" s="26">
        <v>96570</v>
      </c>
      <c r="E379" s="21" t="s">
        <v>10</v>
      </c>
    </row>
    <row r="380" spans="1:6" x14ac:dyDescent="0.3">
      <c r="A380" s="3" t="s">
        <v>336</v>
      </c>
      <c r="C380" s="17"/>
      <c r="D380" s="26">
        <v>0</v>
      </c>
      <c r="E380" s="21"/>
    </row>
    <row r="381" spans="1:6" x14ac:dyDescent="0.3">
      <c r="A381" s="5" t="s">
        <v>337</v>
      </c>
      <c r="C381" s="17"/>
      <c r="D381" s="26">
        <v>27000</v>
      </c>
      <c r="E381" s="21"/>
    </row>
    <row r="382" spans="1:6" x14ac:dyDescent="0.3">
      <c r="A382" s="3" t="s">
        <v>338</v>
      </c>
      <c r="C382" s="17"/>
      <c r="D382" s="26">
        <v>0</v>
      </c>
      <c r="E382" s="21"/>
    </row>
    <row r="383" spans="1:6" x14ac:dyDescent="0.3">
      <c r="A383" s="5" t="s">
        <v>7</v>
      </c>
      <c r="C383" s="17"/>
      <c r="D383" s="26">
        <v>8900</v>
      </c>
      <c r="E383" s="21"/>
      <c r="F383" t="s">
        <v>42</v>
      </c>
    </row>
    <row r="384" spans="1:6" x14ac:dyDescent="0.3">
      <c r="A384" s="7" t="s">
        <v>77</v>
      </c>
      <c r="B384" s="14"/>
      <c r="C384" s="19"/>
      <c r="D384" s="25">
        <v>8500</v>
      </c>
      <c r="E384" s="24" t="s">
        <v>111</v>
      </c>
    </row>
    <row r="385" spans="1:6" x14ac:dyDescent="0.3">
      <c r="A385" s="3" t="s">
        <v>339</v>
      </c>
      <c r="C385" s="17"/>
      <c r="D385" s="26">
        <v>0</v>
      </c>
      <c r="E385" s="21"/>
    </row>
    <row r="386" spans="1:6" x14ac:dyDescent="0.3">
      <c r="A386" s="5" t="s">
        <v>221</v>
      </c>
      <c r="C386" s="17"/>
      <c r="D386" s="26">
        <v>12232</v>
      </c>
      <c r="E386" s="21"/>
      <c r="F386" t="s">
        <v>42</v>
      </c>
    </row>
    <row r="387" spans="1:6" x14ac:dyDescent="0.3">
      <c r="A387" s="7" t="s">
        <v>77</v>
      </c>
      <c r="C387" s="17"/>
      <c r="D387" s="25">
        <v>11500</v>
      </c>
      <c r="E387" s="24" t="s">
        <v>111</v>
      </c>
    </row>
    <row r="388" spans="1:6" x14ac:dyDescent="0.3">
      <c r="A388" s="3" t="s">
        <v>340</v>
      </c>
      <c r="C388" s="17"/>
      <c r="D388" s="26">
        <v>0</v>
      </c>
      <c r="E388" s="21"/>
    </row>
    <row r="389" spans="1:6" x14ac:dyDescent="0.3">
      <c r="A389" s="5" t="s">
        <v>341</v>
      </c>
      <c r="C389" s="17"/>
      <c r="D389" s="26">
        <v>54900</v>
      </c>
      <c r="E389" s="21"/>
    </row>
    <row r="390" spans="1:6" x14ac:dyDescent="0.3">
      <c r="A390" s="5" t="s">
        <v>342</v>
      </c>
      <c r="C390" s="17"/>
      <c r="D390" s="26">
        <v>73260</v>
      </c>
      <c r="E390" s="21"/>
    </row>
    <row r="391" spans="1:6" x14ac:dyDescent="0.3">
      <c r="A391" s="5" t="s">
        <v>343</v>
      </c>
      <c r="C391" s="17"/>
      <c r="D391" s="26">
        <v>109890</v>
      </c>
      <c r="E391" s="21" t="s">
        <v>10</v>
      </c>
    </row>
    <row r="392" spans="1:6" x14ac:dyDescent="0.3">
      <c r="A392" s="3" t="s">
        <v>344</v>
      </c>
      <c r="C392" s="17"/>
      <c r="D392" s="26">
        <v>0</v>
      </c>
      <c r="E392" s="21"/>
    </row>
    <row r="393" spans="1:6" x14ac:dyDescent="0.3">
      <c r="A393" s="5" t="s">
        <v>345</v>
      </c>
      <c r="C393" s="17"/>
      <c r="D393" s="26">
        <v>24420</v>
      </c>
      <c r="E393" s="21" t="s">
        <v>10</v>
      </c>
    </row>
    <row r="394" spans="1:6" x14ac:dyDescent="0.3">
      <c r="A394" s="5" t="s">
        <v>346</v>
      </c>
      <c r="C394" s="17"/>
      <c r="D394" s="26">
        <v>51282</v>
      </c>
      <c r="E394" s="21" t="s">
        <v>10</v>
      </c>
    </row>
    <row r="395" spans="1:6" x14ac:dyDescent="0.3">
      <c r="A395" s="3" t="s">
        <v>347</v>
      </c>
      <c r="C395" s="17"/>
      <c r="D395" s="26">
        <v>0</v>
      </c>
      <c r="E395" s="21"/>
    </row>
    <row r="396" spans="1:6" x14ac:dyDescent="0.3">
      <c r="A396" s="5" t="s">
        <v>348</v>
      </c>
      <c r="C396" s="17"/>
      <c r="D396" s="26">
        <v>40293</v>
      </c>
      <c r="E396" s="21"/>
    </row>
    <row r="397" spans="1:6" x14ac:dyDescent="0.3">
      <c r="A397" s="5" t="s">
        <v>349</v>
      </c>
      <c r="C397" s="17"/>
      <c r="D397" s="26">
        <v>54945</v>
      </c>
      <c r="E397" s="21" t="s">
        <v>10</v>
      </c>
    </row>
    <row r="398" spans="1:6" x14ac:dyDescent="0.3">
      <c r="A398" s="3" t="s">
        <v>350</v>
      </c>
      <c r="C398" s="17"/>
      <c r="D398" s="26">
        <v>0</v>
      </c>
      <c r="E398" s="21"/>
    </row>
    <row r="399" spans="1:6" x14ac:dyDescent="0.3">
      <c r="A399" s="5" t="s">
        <v>351</v>
      </c>
      <c r="C399" s="17"/>
      <c r="D399" s="26">
        <v>78000</v>
      </c>
      <c r="E399" s="21"/>
    </row>
    <row r="400" spans="1:6" x14ac:dyDescent="0.3">
      <c r="A400" s="5" t="s">
        <v>352</v>
      </c>
      <c r="C400" s="17"/>
      <c r="D400" s="26">
        <v>99000</v>
      </c>
      <c r="E400" s="21"/>
    </row>
    <row r="401" spans="1:5" x14ac:dyDescent="0.3">
      <c r="A401" s="5" t="s">
        <v>353</v>
      </c>
      <c r="C401" s="17"/>
      <c r="D401" s="26">
        <v>173000</v>
      </c>
      <c r="E401" s="21"/>
    </row>
    <row r="402" spans="1:5" x14ac:dyDescent="0.3">
      <c r="A402" s="5" t="s">
        <v>354</v>
      </c>
      <c r="C402" s="17"/>
      <c r="D402" s="26">
        <v>245000</v>
      </c>
      <c r="E402" s="21"/>
    </row>
    <row r="403" spans="1:5" x14ac:dyDescent="0.3">
      <c r="A403" s="3" t="s">
        <v>355</v>
      </c>
      <c r="C403" s="17"/>
      <c r="D403" s="26">
        <v>0</v>
      </c>
      <c r="E403" s="21"/>
    </row>
    <row r="404" spans="1:5" x14ac:dyDescent="0.3">
      <c r="A404" s="5" t="s">
        <v>356</v>
      </c>
      <c r="C404" s="17"/>
      <c r="D404" s="26">
        <v>9900</v>
      </c>
      <c r="E404" s="21"/>
    </row>
    <row r="405" spans="1:5" x14ac:dyDescent="0.3">
      <c r="A405" s="3" t="s">
        <v>357</v>
      </c>
      <c r="C405" s="17"/>
      <c r="D405" s="26">
        <v>0</v>
      </c>
      <c r="E405" s="21"/>
    </row>
    <row r="406" spans="1:5" x14ac:dyDescent="0.3">
      <c r="A406" s="5" t="s">
        <v>358</v>
      </c>
      <c r="C406" s="17"/>
      <c r="D406" s="26">
        <v>25000</v>
      </c>
      <c r="E406" s="21"/>
    </row>
    <row r="407" spans="1:5" x14ac:dyDescent="0.3">
      <c r="A407" s="7" t="s">
        <v>359</v>
      </c>
      <c r="C407" s="17"/>
      <c r="D407" s="25">
        <v>24000</v>
      </c>
      <c r="E407" s="24" t="s">
        <v>111</v>
      </c>
    </row>
    <row r="408" spans="1:5" x14ac:dyDescent="0.3">
      <c r="A408" s="3" t="s">
        <v>360</v>
      </c>
      <c r="C408" s="17"/>
      <c r="D408" s="26">
        <v>0</v>
      </c>
      <c r="E408" s="21"/>
    </row>
    <row r="409" spans="1:5" x14ac:dyDescent="0.3">
      <c r="A409" s="5" t="s">
        <v>7</v>
      </c>
      <c r="C409" s="17"/>
      <c r="D409" s="26">
        <v>12232</v>
      </c>
      <c r="E409" s="21" t="s">
        <v>42</v>
      </c>
    </row>
    <row r="410" spans="1:5" x14ac:dyDescent="0.3">
      <c r="A410" s="5" t="s">
        <v>361</v>
      </c>
      <c r="C410" s="17"/>
      <c r="D410" s="26">
        <v>27000</v>
      </c>
      <c r="E410" s="21"/>
    </row>
    <row r="411" spans="1:5" x14ac:dyDescent="0.3">
      <c r="A411" s="3" t="s">
        <v>362</v>
      </c>
      <c r="C411" s="17"/>
      <c r="D411" s="26">
        <v>0</v>
      </c>
      <c r="E411" s="21"/>
    </row>
    <row r="412" spans="1:5" x14ac:dyDescent="0.3">
      <c r="A412" s="8" t="s">
        <v>363</v>
      </c>
      <c r="C412" s="17"/>
      <c r="D412" s="25">
        <v>27000</v>
      </c>
      <c r="E412" s="24"/>
    </row>
    <row r="413" spans="1:5" x14ac:dyDescent="0.3">
      <c r="A413" s="5" t="s">
        <v>364</v>
      </c>
      <c r="C413" s="17"/>
      <c r="D413" s="26">
        <v>49000</v>
      </c>
      <c r="E413" s="21"/>
    </row>
    <row r="414" spans="1:5" x14ac:dyDescent="0.3">
      <c r="A414" s="3" t="s">
        <v>365</v>
      </c>
      <c r="C414" s="17"/>
      <c r="D414" s="26">
        <v>0</v>
      </c>
      <c r="E414" s="21"/>
    </row>
    <row r="415" spans="1:5" x14ac:dyDescent="0.3">
      <c r="A415" s="5" t="s">
        <v>126</v>
      </c>
      <c r="C415" s="17"/>
      <c r="D415" s="26">
        <v>8900</v>
      </c>
      <c r="E415" s="21"/>
    </row>
    <row r="416" spans="1:5" x14ac:dyDescent="0.3">
      <c r="A416" s="3" t="s">
        <v>366</v>
      </c>
      <c r="C416" s="17"/>
      <c r="D416" s="26">
        <v>0</v>
      </c>
      <c r="E416" s="21"/>
    </row>
    <row r="417" spans="1:5" x14ac:dyDescent="0.3">
      <c r="A417" s="3" t="s">
        <v>367</v>
      </c>
      <c r="C417" s="17"/>
      <c r="D417" s="26">
        <v>12232</v>
      </c>
      <c r="E417" s="21"/>
    </row>
    <row r="418" spans="1:5" x14ac:dyDescent="0.3">
      <c r="A418" s="3" t="s">
        <v>368</v>
      </c>
      <c r="C418" s="17"/>
      <c r="D418" s="26">
        <v>0</v>
      </c>
      <c r="E418" s="21"/>
    </row>
    <row r="419" spans="1:5" x14ac:dyDescent="0.3">
      <c r="A419" s="5" t="s">
        <v>126</v>
      </c>
      <c r="C419" s="17"/>
      <c r="D419" s="26">
        <v>8900</v>
      </c>
      <c r="E419" s="21" t="s">
        <v>10</v>
      </c>
    </row>
    <row r="420" spans="1:5" x14ac:dyDescent="0.3">
      <c r="A420" s="3" t="s">
        <v>369</v>
      </c>
      <c r="C420" s="17"/>
      <c r="E420" s="21"/>
    </row>
    <row r="421" spans="1:5" x14ac:dyDescent="0.3">
      <c r="A421" s="5" t="s">
        <v>370</v>
      </c>
      <c r="C421" s="17"/>
      <c r="D421" s="26">
        <v>27000</v>
      </c>
      <c r="E421" s="21"/>
    </row>
    <row r="422" spans="1:5" x14ac:dyDescent="0.3">
      <c r="A422" s="3" t="s">
        <v>371</v>
      </c>
      <c r="C422" s="17"/>
      <c r="D422" s="26">
        <v>0</v>
      </c>
      <c r="E422" s="21"/>
    </row>
    <row r="423" spans="1:5" x14ac:dyDescent="0.3">
      <c r="A423" s="5" t="s">
        <v>372</v>
      </c>
      <c r="C423" s="17"/>
      <c r="D423" s="26">
        <v>8900</v>
      </c>
      <c r="E423" s="21"/>
    </row>
    <row r="424" spans="1:5" x14ac:dyDescent="0.3">
      <c r="A424" s="7" t="s">
        <v>278</v>
      </c>
      <c r="B424" s="14"/>
      <c r="C424" s="19"/>
      <c r="D424" s="25">
        <v>8500</v>
      </c>
      <c r="E424" s="24" t="s">
        <v>111</v>
      </c>
    </row>
    <row r="425" spans="1:5" x14ac:dyDescent="0.3">
      <c r="A425" s="3" t="s">
        <v>373</v>
      </c>
      <c r="C425" s="17"/>
      <c r="D425" s="26">
        <v>0</v>
      </c>
      <c r="E425" s="21"/>
    </row>
    <row r="426" spans="1:5" x14ac:dyDescent="0.3">
      <c r="A426" s="5" t="s">
        <v>374</v>
      </c>
      <c r="C426" s="17"/>
      <c r="D426" s="26">
        <v>13500</v>
      </c>
      <c r="E426" s="21"/>
    </row>
    <row r="427" spans="1:5" x14ac:dyDescent="0.3">
      <c r="A427" s="5" t="s">
        <v>375</v>
      </c>
      <c r="C427" s="17"/>
      <c r="D427" s="26">
        <v>32190</v>
      </c>
      <c r="E427" s="21" t="s">
        <v>10</v>
      </c>
    </row>
    <row r="428" spans="1:5" x14ac:dyDescent="0.3">
      <c r="A428" s="5" t="s">
        <v>376</v>
      </c>
      <c r="C428" s="17"/>
      <c r="D428" s="26">
        <v>39432.75</v>
      </c>
      <c r="E428" s="21" t="s">
        <v>10</v>
      </c>
    </row>
    <row r="429" spans="1:5" x14ac:dyDescent="0.3">
      <c r="A429" s="3" t="s">
        <v>377</v>
      </c>
      <c r="C429" s="17"/>
      <c r="D429" s="26">
        <v>0</v>
      </c>
      <c r="E429" s="21"/>
    </row>
    <row r="430" spans="1:5" x14ac:dyDescent="0.3">
      <c r="A430" s="5" t="s">
        <v>7</v>
      </c>
      <c r="C430" s="17"/>
      <c r="D430" s="26">
        <v>14887.875</v>
      </c>
      <c r="E430" s="21" t="s">
        <v>10</v>
      </c>
    </row>
    <row r="431" spans="1:5" x14ac:dyDescent="0.3">
      <c r="A431" s="5" t="s">
        <v>127</v>
      </c>
      <c r="C431" s="17"/>
      <c r="D431" s="26">
        <v>29000</v>
      </c>
      <c r="E431" s="21" t="s">
        <v>42</v>
      </c>
    </row>
    <row r="432" spans="1:5" x14ac:dyDescent="0.3">
      <c r="A432" s="3" t="s">
        <v>378</v>
      </c>
      <c r="C432" s="17"/>
      <c r="D432" s="26">
        <v>0</v>
      </c>
      <c r="E432" s="21"/>
    </row>
    <row r="433" spans="1:5" x14ac:dyDescent="0.3">
      <c r="A433" s="5" t="s">
        <v>379</v>
      </c>
      <c r="C433" s="17"/>
      <c r="D433" s="26">
        <v>12232</v>
      </c>
      <c r="E433" s="21"/>
    </row>
    <row r="434" spans="1:5" x14ac:dyDescent="0.3">
      <c r="A434" s="5" t="s">
        <v>380</v>
      </c>
      <c r="C434" s="17"/>
      <c r="D434" s="26">
        <v>25591.05</v>
      </c>
      <c r="E434" s="21" t="s">
        <v>10</v>
      </c>
    </row>
    <row r="435" spans="1:5" x14ac:dyDescent="0.3">
      <c r="A435" s="5" t="s">
        <v>381</v>
      </c>
      <c r="C435" s="17"/>
      <c r="D435" s="26">
        <v>27200.55</v>
      </c>
      <c r="E435" s="21" t="s">
        <v>10</v>
      </c>
    </row>
    <row r="436" spans="1:5" x14ac:dyDescent="0.3">
      <c r="A436" s="3" t="s">
        <v>382</v>
      </c>
      <c r="C436" s="17"/>
      <c r="D436" s="26" t="s">
        <v>42</v>
      </c>
      <c r="E436" s="21"/>
    </row>
    <row r="437" spans="1:5" x14ac:dyDescent="0.3">
      <c r="A437" s="5" t="s">
        <v>383</v>
      </c>
      <c r="C437" s="17"/>
      <c r="D437" s="26">
        <v>12232</v>
      </c>
      <c r="E437" s="21"/>
    </row>
    <row r="438" spans="1:5" x14ac:dyDescent="0.3">
      <c r="A438" s="7" t="s">
        <v>384</v>
      </c>
      <c r="C438" s="17"/>
      <c r="D438" s="25">
        <v>27000</v>
      </c>
      <c r="E438" s="24"/>
    </row>
    <row r="439" spans="1:5" x14ac:dyDescent="0.3">
      <c r="A439" s="5" t="s">
        <v>385</v>
      </c>
      <c r="C439" s="17"/>
      <c r="D439" s="26">
        <v>49000</v>
      </c>
      <c r="E439" s="21"/>
    </row>
    <row r="440" spans="1:5" x14ac:dyDescent="0.3">
      <c r="A440" s="3" t="s">
        <v>386</v>
      </c>
      <c r="C440" s="17"/>
      <c r="E440" s="21"/>
    </row>
    <row r="441" spans="1:5" x14ac:dyDescent="0.3">
      <c r="A441" s="5" t="s">
        <v>387</v>
      </c>
      <c r="C441" s="17"/>
      <c r="D441" s="26">
        <v>12232</v>
      </c>
      <c r="E441" s="21"/>
    </row>
    <row r="442" spans="1:5" x14ac:dyDescent="0.3">
      <c r="A442" s="7" t="s">
        <v>388</v>
      </c>
      <c r="C442" s="17"/>
      <c r="D442" s="25">
        <v>27000</v>
      </c>
      <c r="E442" s="24"/>
    </row>
    <row r="443" spans="1:5" x14ac:dyDescent="0.3">
      <c r="A443" s="5" t="s">
        <v>389</v>
      </c>
      <c r="C443" s="17"/>
      <c r="D443" s="26">
        <v>49000</v>
      </c>
      <c r="E443" s="21"/>
    </row>
    <row r="444" spans="1:5" x14ac:dyDescent="0.3">
      <c r="A444" s="3" t="s">
        <v>390</v>
      </c>
      <c r="C444" s="17"/>
      <c r="D444" s="26">
        <v>0</v>
      </c>
      <c r="E444" s="21"/>
    </row>
    <row r="445" spans="1:5" x14ac:dyDescent="0.3">
      <c r="A445" s="5" t="s">
        <v>7</v>
      </c>
      <c r="C445" s="17"/>
      <c r="D445" s="26">
        <v>12232</v>
      </c>
      <c r="E445" s="21" t="s">
        <v>42</v>
      </c>
    </row>
    <row r="446" spans="1:5" x14ac:dyDescent="0.3">
      <c r="A446" s="5" t="s">
        <v>391</v>
      </c>
      <c r="C446" s="17"/>
      <c r="D446" s="26">
        <v>27000</v>
      </c>
      <c r="E446" s="21"/>
    </row>
    <row r="447" spans="1:5" x14ac:dyDescent="0.3">
      <c r="A447" s="3" t="s">
        <v>392</v>
      </c>
      <c r="C447" s="17"/>
      <c r="D447" s="26">
        <v>0</v>
      </c>
      <c r="E447" s="21"/>
    </row>
    <row r="448" spans="1:5" x14ac:dyDescent="0.3">
      <c r="A448" s="5" t="s">
        <v>379</v>
      </c>
      <c r="C448" s="17"/>
      <c r="D448" s="26">
        <v>8900</v>
      </c>
      <c r="E448" s="21"/>
    </row>
    <row r="449" spans="1:5" x14ac:dyDescent="0.3">
      <c r="A449" s="7" t="s">
        <v>393</v>
      </c>
      <c r="B449" s="14"/>
      <c r="C449" s="19"/>
      <c r="D449" s="25">
        <v>8500</v>
      </c>
      <c r="E449" s="24" t="s">
        <v>111</v>
      </c>
    </row>
    <row r="450" spans="1:5" x14ac:dyDescent="0.3">
      <c r="A450" s="3" t="s">
        <v>394</v>
      </c>
      <c r="C450" s="17"/>
      <c r="D450" s="26">
        <v>0</v>
      </c>
      <c r="E450" s="21"/>
    </row>
    <row r="451" spans="1:5" x14ac:dyDescent="0.3">
      <c r="A451" s="5" t="s">
        <v>395</v>
      </c>
      <c r="C451" s="17"/>
      <c r="D451" s="26">
        <v>27000</v>
      </c>
      <c r="E451" s="21"/>
    </row>
    <row r="452" spans="1:5" x14ac:dyDescent="0.3">
      <c r="A452" s="5" t="s">
        <v>396</v>
      </c>
      <c r="C452" s="17"/>
      <c r="D452" s="26">
        <v>53333.279999999999</v>
      </c>
      <c r="E452" s="21" t="s">
        <v>10</v>
      </c>
    </row>
    <row r="453" spans="1:5" x14ac:dyDescent="0.3">
      <c r="A453" s="3" t="s">
        <v>397</v>
      </c>
      <c r="C453" s="17"/>
      <c r="D453" s="26">
        <v>0</v>
      </c>
      <c r="E453" s="21"/>
    </row>
    <row r="454" spans="1:5" x14ac:dyDescent="0.3">
      <c r="A454" s="5" t="s">
        <v>398</v>
      </c>
      <c r="C454" s="17"/>
      <c r="D454" s="26">
        <v>21090</v>
      </c>
      <c r="E454" s="21" t="s">
        <v>10</v>
      </c>
    </row>
    <row r="455" spans="1:5" x14ac:dyDescent="0.3">
      <c r="A455" s="5" t="s">
        <v>399</v>
      </c>
      <c r="C455" s="17"/>
      <c r="D455" s="26">
        <v>33300</v>
      </c>
      <c r="E455" s="21" t="s">
        <v>10</v>
      </c>
    </row>
    <row r="456" spans="1:5" x14ac:dyDescent="0.3">
      <c r="A456" s="5" t="s">
        <v>400</v>
      </c>
      <c r="C456" s="17"/>
      <c r="D456" s="26">
        <v>58600</v>
      </c>
      <c r="E456" s="21"/>
    </row>
    <row r="457" spans="1:5" x14ac:dyDescent="0.3">
      <c r="A457" s="3" t="s">
        <v>401</v>
      </c>
      <c r="C457" s="17"/>
      <c r="D457" s="26">
        <v>0</v>
      </c>
      <c r="E457" s="21"/>
    </row>
    <row r="458" spans="1:5" x14ac:dyDescent="0.3">
      <c r="A458" s="5" t="s">
        <v>402</v>
      </c>
      <c r="C458" s="17"/>
      <c r="D458" s="26">
        <v>257875.20000000001</v>
      </c>
      <c r="E458" s="21"/>
    </row>
    <row r="459" spans="1:5" x14ac:dyDescent="0.3">
      <c r="A459" s="5" t="s">
        <v>403</v>
      </c>
      <c r="C459" s="17"/>
      <c r="D459" s="26">
        <v>467398.8</v>
      </c>
      <c r="E459" s="21"/>
    </row>
    <row r="460" spans="1:5" x14ac:dyDescent="0.3">
      <c r="A460" s="5" t="s">
        <v>404</v>
      </c>
      <c r="C460" s="17"/>
      <c r="D460" s="26">
        <v>789742.8</v>
      </c>
      <c r="E460" s="21"/>
    </row>
    <row r="461" spans="1:5" x14ac:dyDescent="0.3">
      <c r="A461" s="3" t="s">
        <v>405</v>
      </c>
      <c r="C461" s="17"/>
      <c r="D461" s="26">
        <v>0</v>
      </c>
      <c r="E461" s="21"/>
    </row>
    <row r="462" spans="1:5" x14ac:dyDescent="0.3">
      <c r="A462" s="5" t="s">
        <v>406</v>
      </c>
      <c r="C462" s="17"/>
      <c r="D462" s="26">
        <v>12232</v>
      </c>
      <c r="E462" s="21"/>
    </row>
    <row r="463" spans="1:5" x14ac:dyDescent="0.3">
      <c r="A463" s="5" t="s">
        <v>407</v>
      </c>
      <c r="C463" s="17"/>
      <c r="D463" s="26">
        <v>27000</v>
      </c>
      <c r="E463" s="21"/>
    </row>
    <row r="464" spans="1:5" x14ac:dyDescent="0.3">
      <c r="A464" s="5" t="s">
        <v>408</v>
      </c>
      <c r="C464" s="17"/>
      <c r="D464" s="26">
        <v>150000</v>
      </c>
      <c r="E464" s="21"/>
    </row>
    <row r="465" spans="1:5" x14ac:dyDescent="0.3">
      <c r="A465" s="7" t="s">
        <v>409</v>
      </c>
      <c r="C465" s="17"/>
      <c r="D465" s="25">
        <v>549450</v>
      </c>
      <c r="E465" s="24"/>
    </row>
    <row r="466" spans="1:5" x14ac:dyDescent="0.3">
      <c r="A466" s="3" t="s">
        <v>410</v>
      </c>
      <c r="C466" s="17"/>
      <c r="D466" s="26">
        <v>0</v>
      </c>
      <c r="E466" s="21"/>
    </row>
    <row r="467" spans="1:5" x14ac:dyDescent="0.3">
      <c r="A467" s="5" t="s">
        <v>7</v>
      </c>
      <c r="C467" s="17"/>
      <c r="D467" s="26">
        <v>23199</v>
      </c>
      <c r="E467" s="21" t="s">
        <v>10</v>
      </c>
    </row>
    <row r="468" spans="1:5" x14ac:dyDescent="0.3">
      <c r="A468" s="5" t="s">
        <v>411</v>
      </c>
      <c r="C468" s="17"/>
      <c r="D468" s="26">
        <v>48000</v>
      </c>
      <c r="E468" s="21"/>
    </row>
    <row r="469" spans="1:5" x14ac:dyDescent="0.3">
      <c r="A469" s="5" t="s">
        <v>412</v>
      </c>
      <c r="C469" s="17"/>
      <c r="D469" s="26">
        <v>76500</v>
      </c>
      <c r="E469" s="21"/>
    </row>
    <row r="470" spans="1:5" x14ac:dyDescent="0.3">
      <c r="A470" s="3" t="s">
        <v>413</v>
      </c>
      <c r="C470" s="17"/>
      <c r="D470" s="26">
        <v>0</v>
      </c>
      <c r="E470" s="21"/>
    </row>
    <row r="471" spans="1:5" x14ac:dyDescent="0.3">
      <c r="A471" s="5" t="s">
        <v>221</v>
      </c>
      <c r="C471" s="17"/>
      <c r="D471" s="26">
        <v>29304</v>
      </c>
      <c r="E471" s="21" t="s">
        <v>10</v>
      </c>
    </row>
    <row r="472" spans="1:5" x14ac:dyDescent="0.3">
      <c r="A472" s="5" t="s">
        <v>414</v>
      </c>
      <c r="C472" s="17"/>
      <c r="D472" s="26">
        <v>43000</v>
      </c>
      <c r="E472" s="21"/>
    </row>
    <row r="473" spans="1:5" x14ac:dyDescent="0.3">
      <c r="A473" s="5" t="s">
        <v>415</v>
      </c>
      <c r="C473" s="17"/>
      <c r="D473" s="26">
        <v>99000</v>
      </c>
      <c r="E473" s="21" t="s">
        <v>10</v>
      </c>
    </row>
    <row r="474" spans="1:5" x14ac:dyDescent="0.3">
      <c r="A474" s="3" t="s">
        <v>416</v>
      </c>
      <c r="C474" s="17"/>
      <c r="D474" s="26">
        <v>0</v>
      </c>
      <c r="E474" s="21"/>
    </row>
    <row r="475" spans="1:5" x14ac:dyDescent="0.3">
      <c r="A475" s="5" t="s">
        <v>417</v>
      </c>
      <c r="C475" s="17"/>
      <c r="D475" s="26">
        <v>77000</v>
      </c>
      <c r="E475" s="21"/>
    </row>
    <row r="476" spans="1:5" x14ac:dyDescent="0.3">
      <c r="A476" s="5" t="s">
        <v>418</v>
      </c>
      <c r="C476" s="17"/>
      <c r="D476" s="26">
        <v>94000</v>
      </c>
      <c r="E476" s="21"/>
    </row>
    <row r="477" spans="1:5" x14ac:dyDescent="0.3">
      <c r="A477" s="5" t="s">
        <v>419</v>
      </c>
      <c r="C477" s="17"/>
      <c r="D477" s="26">
        <v>163000</v>
      </c>
      <c r="E477" s="21" t="s">
        <v>42</v>
      </c>
    </row>
    <row r="478" spans="1:5" x14ac:dyDescent="0.3">
      <c r="A478" s="3" t="s">
        <v>420</v>
      </c>
      <c r="C478" s="17"/>
      <c r="D478" s="26">
        <v>0</v>
      </c>
      <c r="E478" s="21"/>
    </row>
    <row r="479" spans="1:5" x14ac:dyDescent="0.3">
      <c r="A479" s="5" t="s">
        <v>7</v>
      </c>
      <c r="C479" s="17"/>
      <c r="D479" s="26">
        <v>25591.05</v>
      </c>
      <c r="E479" s="21"/>
    </row>
    <row r="480" spans="1:5" x14ac:dyDescent="0.3">
      <c r="A480" s="5" t="s">
        <v>421</v>
      </c>
      <c r="C480" s="17"/>
      <c r="D480" s="26">
        <v>37823.25</v>
      </c>
      <c r="E480" s="21" t="s">
        <v>10</v>
      </c>
    </row>
    <row r="481" spans="1:6" x14ac:dyDescent="0.3">
      <c r="A481" s="3" t="s">
        <v>422</v>
      </c>
      <c r="C481" s="17"/>
      <c r="D481" s="26">
        <v>0</v>
      </c>
      <c r="E481" s="21"/>
    </row>
    <row r="482" spans="1:6" x14ac:dyDescent="0.3">
      <c r="A482" s="5" t="s">
        <v>285</v>
      </c>
      <c r="C482" s="17"/>
      <c r="D482" s="26">
        <v>11282.04</v>
      </c>
      <c r="E482" s="21" t="s">
        <v>10</v>
      </c>
    </row>
    <row r="483" spans="1:6" x14ac:dyDescent="0.3">
      <c r="A483" s="5" t="s">
        <v>423</v>
      </c>
      <c r="C483" s="17"/>
      <c r="D483" s="26">
        <v>19340.64</v>
      </c>
      <c r="E483" s="21" t="s">
        <v>10</v>
      </c>
    </row>
    <row r="484" spans="1:6" x14ac:dyDescent="0.3">
      <c r="A484" s="3" t="s">
        <v>424</v>
      </c>
      <c r="C484" s="17"/>
      <c r="D484" s="26">
        <v>0</v>
      </c>
      <c r="E484" s="21"/>
    </row>
    <row r="485" spans="1:6" x14ac:dyDescent="0.3">
      <c r="A485" s="5" t="s">
        <v>425</v>
      </c>
      <c r="C485" s="17"/>
      <c r="D485" s="26">
        <v>8900</v>
      </c>
      <c r="E485" s="21"/>
    </row>
    <row r="486" spans="1:6" x14ac:dyDescent="0.3">
      <c r="A486" s="3" t="s">
        <v>426</v>
      </c>
      <c r="C486" s="17"/>
      <c r="D486" s="26">
        <v>0</v>
      </c>
      <c r="E486" s="21"/>
    </row>
    <row r="487" spans="1:6" x14ac:dyDescent="0.3">
      <c r="A487" s="5" t="s">
        <v>427</v>
      </c>
      <c r="C487" s="17"/>
      <c r="D487" s="26">
        <v>32967</v>
      </c>
      <c r="E487" s="21"/>
    </row>
    <row r="488" spans="1:6" x14ac:dyDescent="0.3">
      <c r="A488" s="3" t="s">
        <v>428</v>
      </c>
      <c r="C488" s="17"/>
      <c r="D488" s="26">
        <v>0</v>
      </c>
      <c r="E488" s="21"/>
    </row>
    <row r="489" spans="1:6" x14ac:dyDescent="0.3">
      <c r="A489" s="5" t="s">
        <v>9</v>
      </c>
      <c r="C489" s="17"/>
      <c r="D489" s="26">
        <v>59000</v>
      </c>
      <c r="E489" s="21"/>
    </row>
    <row r="490" spans="1:6" x14ac:dyDescent="0.3">
      <c r="A490" s="5" t="s">
        <v>429</v>
      </c>
      <c r="C490" s="17"/>
      <c r="D490" s="26">
        <v>80586</v>
      </c>
      <c r="E490" s="21" t="s">
        <v>10</v>
      </c>
    </row>
    <row r="491" spans="1:6" x14ac:dyDescent="0.3">
      <c r="A491" s="3" t="s">
        <v>430</v>
      </c>
      <c r="C491" s="17"/>
      <c r="D491" s="26">
        <v>0</v>
      </c>
      <c r="E491" s="21"/>
    </row>
    <row r="492" spans="1:6" x14ac:dyDescent="0.3">
      <c r="A492" s="5" t="s">
        <v>431</v>
      </c>
      <c r="C492" s="17"/>
      <c r="D492" s="26">
        <v>27000</v>
      </c>
      <c r="E492" s="21"/>
    </row>
    <row r="493" spans="1:6" x14ac:dyDescent="0.3">
      <c r="A493" s="3" t="s">
        <v>432</v>
      </c>
      <c r="C493" s="17"/>
      <c r="D493" s="26">
        <v>0</v>
      </c>
      <c r="E493" s="21"/>
    </row>
    <row r="494" spans="1:6" x14ac:dyDescent="0.3">
      <c r="A494" s="5" t="s">
        <v>151</v>
      </c>
      <c r="C494" s="17"/>
      <c r="D494" s="26">
        <v>12232</v>
      </c>
      <c r="E494" s="21"/>
    </row>
    <row r="495" spans="1:6" x14ac:dyDescent="0.3">
      <c r="A495" s="3" t="s">
        <v>433</v>
      </c>
      <c r="C495" s="17"/>
      <c r="D495" s="26">
        <v>0</v>
      </c>
      <c r="E495" s="21"/>
    </row>
    <row r="496" spans="1:6" x14ac:dyDescent="0.3">
      <c r="A496" s="5" t="s">
        <v>126</v>
      </c>
      <c r="C496" s="17"/>
      <c r="D496" s="26">
        <v>8900</v>
      </c>
      <c r="E496" s="21" t="s">
        <v>10</v>
      </c>
      <c r="F496" t="s">
        <v>42</v>
      </c>
    </row>
    <row r="497" spans="1:5" x14ac:dyDescent="0.3">
      <c r="A497" s="3" t="s">
        <v>434</v>
      </c>
      <c r="C497" s="17"/>
      <c r="D497" s="26">
        <v>0</v>
      </c>
      <c r="E497" s="21"/>
    </row>
    <row r="498" spans="1:5" x14ac:dyDescent="0.3">
      <c r="A498" s="5" t="s">
        <v>126</v>
      </c>
      <c r="C498" s="17"/>
      <c r="D498" s="26">
        <v>8900</v>
      </c>
      <c r="E498" s="21"/>
    </row>
    <row r="499" spans="1:5" x14ac:dyDescent="0.3">
      <c r="A499" s="7" t="s">
        <v>310</v>
      </c>
      <c r="B499" s="14"/>
      <c r="C499" s="19"/>
      <c r="D499" s="25">
        <v>8500</v>
      </c>
      <c r="E499" s="24"/>
    </row>
    <row r="500" spans="1:5" x14ac:dyDescent="0.3">
      <c r="A500" s="3" t="s">
        <v>435</v>
      </c>
      <c r="C500" s="17"/>
      <c r="D500" s="26">
        <v>0</v>
      </c>
      <c r="E500" s="21"/>
    </row>
    <row r="501" spans="1:5" x14ac:dyDescent="0.3">
      <c r="A501" s="5" t="s">
        <v>7</v>
      </c>
      <c r="C501" s="17"/>
      <c r="D501" s="26">
        <v>8900</v>
      </c>
      <c r="E501" s="21"/>
    </row>
    <row r="502" spans="1:5" x14ac:dyDescent="0.3">
      <c r="A502" s="7" t="s">
        <v>310</v>
      </c>
      <c r="B502" s="14"/>
      <c r="C502" s="19"/>
      <c r="D502" s="25">
        <v>8500</v>
      </c>
      <c r="E502" s="24"/>
    </row>
    <row r="503" spans="1:5" x14ac:dyDescent="0.3">
      <c r="A503" s="3" t="s">
        <v>436</v>
      </c>
      <c r="C503" s="17"/>
      <c r="D503" s="26">
        <v>0</v>
      </c>
      <c r="E503" s="21"/>
    </row>
    <row r="504" spans="1:5" x14ac:dyDescent="0.3">
      <c r="A504" s="5" t="s">
        <v>7</v>
      </c>
      <c r="C504" s="17"/>
      <c r="D504" s="26">
        <v>8900</v>
      </c>
      <c r="E504" s="21"/>
    </row>
    <row r="505" spans="1:5" x14ac:dyDescent="0.3">
      <c r="A505" s="7" t="s">
        <v>310</v>
      </c>
      <c r="B505" s="14"/>
      <c r="C505" s="19"/>
      <c r="D505" s="25">
        <v>8500</v>
      </c>
      <c r="E505" s="24"/>
    </row>
    <row r="506" spans="1:5" x14ac:dyDescent="0.3">
      <c r="A506" s="3" t="s">
        <v>437</v>
      </c>
      <c r="C506" s="17"/>
      <c r="D506" s="26">
        <v>0</v>
      </c>
      <c r="E506" s="21"/>
    </row>
    <row r="507" spans="1:5" x14ac:dyDescent="0.3">
      <c r="A507" s="5" t="s">
        <v>438</v>
      </c>
      <c r="C507" s="17"/>
      <c r="D507" s="26">
        <v>19000</v>
      </c>
      <c r="E507" s="21"/>
    </row>
    <row r="508" spans="1:5" x14ac:dyDescent="0.3">
      <c r="A508" s="5" t="s">
        <v>439</v>
      </c>
      <c r="C508" s="17"/>
      <c r="D508" s="26">
        <v>39000</v>
      </c>
      <c r="E508" s="21"/>
    </row>
    <row r="509" spans="1:5" x14ac:dyDescent="0.3">
      <c r="A509" s="5" t="s">
        <v>440</v>
      </c>
      <c r="C509" s="17"/>
      <c r="D509" s="26">
        <v>54945</v>
      </c>
      <c r="E509" s="21" t="s">
        <v>10</v>
      </c>
    </row>
    <row r="510" spans="1:5" x14ac:dyDescent="0.3">
      <c r="A510" s="3" t="s">
        <v>441</v>
      </c>
      <c r="C510" s="17"/>
      <c r="D510" s="26" t="s">
        <v>42</v>
      </c>
      <c r="E510" s="21"/>
    </row>
    <row r="511" spans="1:5" x14ac:dyDescent="0.3">
      <c r="A511" s="5" t="s">
        <v>442</v>
      </c>
      <c r="C511" s="17"/>
      <c r="D511" s="26">
        <v>27000</v>
      </c>
      <c r="E511" s="21"/>
    </row>
    <row r="512" spans="1:5" x14ac:dyDescent="0.3">
      <c r="A512" s="3" t="s">
        <v>443</v>
      </c>
      <c r="C512" s="17"/>
      <c r="D512" s="26">
        <v>0</v>
      </c>
      <c r="E512" s="21"/>
    </row>
    <row r="513" spans="1:5" x14ac:dyDescent="0.3">
      <c r="A513" s="5" t="s">
        <v>127</v>
      </c>
      <c r="C513" s="17"/>
      <c r="D513" s="26">
        <v>29000</v>
      </c>
      <c r="E513" s="21"/>
    </row>
    <row r="514" spans="1:5" x14ac:dyDescent="0.3">
      <c r="A514" s="3" t="s">
        <v>444</v>
      </c>
      <c r="C514" s="17"/>
      <c r="D514" s="26">
        <v>0</v>
      </c>
      <c r="E514" s="21"/>
    </row>
    <row r="515" spans="1:5" x14ac:dyDescent="0.3">
      <c r="A515" s="7" t="s">
        <v>445</v>
      </c>
      <c r="C515" s="17"/>
      <c r="D515" s="25">
        <v>32190</v>
      </c>
      <c r="E515" s="24"/>
    </row>
    <row r="516" spans="1:5" x14ac:dyDescent="0.3">
      <c r="A516" s="3" t="s">
        <v>446</v>
      </c>
      <c r="C516" s="17"/>
      <c r="D516" s="26">
        <v>0</v>
      </c>
      <c r="E516" s="21"/>
    </row>
    <row r="517" spans="1:5" x14ac:dyDescent="0.3">
      <c r="A517" s="7" t="s">
        <v>127</v>
      </c>
      <c r="C517" s="17"/>
      <c r="D517" s="25">
        <v>29000</v>
      </c>
      <c r="E517" s="24"/>
    </row>
    <row r="518" spans="1:5" x14ac:dyDescent="0.3">
      <c r="A518" s="3" t="s">
        <v>447</v>
      </c>
      <c r="C518" s="17"/>
      <c r="D518" s="26">
        <v>0</v>
      </c>
      <c r="E518" s="21"/>
    </row>
    <row r="519" spans="1:5" x14ac:dyDescent="0.3">
      <c r="A519" s="5" t="s">
        <v>448</v>
      </c>
      <c r="C519" s="17"/>
      <c r="D519" s="26">
        <v>29000</v>
      </c>
      <c r="E519" s="21"/>
    </row>
    <row r="520" spans="1:5" x14ac:dyDescent="0.3">
      <c r="A520" s="3" t="s">
        <v>449</v>
      </c>
      <c r="C520" s="17"/>
      <c r="D520" s="26">
        <v>0</v>
      </c>
      <c r="E520" s="21"/>
    </row>
    <row r="521" spans="1:5" x14ac:dyDescent="0.3">
      <c r="A521" s="5" t="s">
        <v>127</v>
      </c>
      <c r="C521" s="17"/>
      <c r="D521" s="26">
        <v>29000</v>
      </c>
      <c r="E521" s="21"/>
    </row>
    <row r="522" spans="1:5" x14ac:dyDescent="0.3">
      <c r="A522" s="3" t="s">
        <v>450</v>
      </c>
      <c r="C522" s="17"/>
      <c r="D522" s="26">
        <v>0</v>
      </c>
      <c r="E522" s="21"/>
    </row>
    <row r="523" spans="1:5" x14ac:dyDescent="0.3">
      <c r="A523" s="5" t="s">
        <v>126</v>
      </c>
      <c r="C523" s="17"/>
      <c r="D523" s="26">
        <v>18870</v>
      </c>
      <c r="E523" s="21"/>
    </row>
    <row r="524" spans="1:5" x14ac:dyDescent="0.3">
      <c r="A524" s="5" t="s">
        <v>127</v>
      </c>
      <c r="C524" s="17"/>
      <c r="D524" s="26">
        <v>36630</v>
      </c>
      <c r="E524" s="21"/>
    </row>
    <row r="525" spans="1:5" x14ac:dyDescent="0.3">
      <c r="A525" s="3" t="s">
        <v>451</v>
      </c>
      <c r="C525" s="17"/>
      <c r="D525" s="26">
        <v>0</v>
      </c>
      <c r="E525" s="21"/>
    </row>
    <row r="526" spans="1:5" x14ac:dyDescent="0.3">
      <c r="A526" s="5" t="s">
        <v>7</v>
      </c>
      <c r="C526" s="17"/>
      <c r="D526" s="26">
        <v>26640</v>
      </c>
      <c r="E526" s="21"/>
    </row>
    <row r="527" spans="1:5" x14ac:dyDescent="0.3">
      <c r="A527" s="5" t="s">
        <v>8</v>
      </c>
      <c r="C527" s="17"/>
      <c r="D527" s="26">
        <v>59940</v>
      </c>
      <c r="E527" s="21"/>
    </row>
    <row r="528" spans="1:5" x14ac:dyDescent="0.3">
      <c r="A528" s="3" t="s">
        <v>452</v>
      </c>
      <c r="C528" s="17"/>
      <c r="D528" s="26">
        <v>0</v>
      </c>
      <c r="E528" s="21"/>
    </row>
    <row r="529" spans="1:5" x14ac:dyDescent="0.3">
      <c r="A529" s="5" t="s">
        <v>7</v>
      </c>
      <c r="C529" s="17"/>
      <c r="D529" s="26">
        <v>18870</v>
      </c>
      <c r="E529" s="21"/>
    </row>
    <row r="530" spans="1:5" x14ac:dyDescent="0.3">
      <c r="A530" s="5" t="s">
        <v>245</v>
      </c>
      <c r="C530" s="17"/>
      <c r="D530" s="26">
        <v>36630</v>
      </c>
      <c r="E530" s="21" t="s">
        <v>10</v>
      </c>
    </row>
    <row r="531" spans="1:5" x14ac:dyDescent="0.3">
      <c r="A531" s="3" t="s">
        <v>453</v>
      </c>
      <c r="C531" s="17"/>
      <c r="D531" s="26">
        <v>0</v>
      </c>
      <c r="E531" s="21"/>
    </row>
    <row r="532" spans="1:5" x14ac:dyDescent="0.3">
      <c r="A532" s="5" t="s">
        <v>454</v>
      </c>
      <c r="C532" s="17"/>
      <c r="D532" s="26">
        <v>39000</v>
      </c>
      <c r="E532" s="21"/>
    </row>
    <row r="533" spans="1:5" x14ac:dyDescent="0.3">
      <c r="A533" s="5" t="s">
        <v>455</v>
      </c>
      <c r="C533" s="17"/>
      <c r="D533" s="26">
        <v>57000</v>
      </c>
      <c r="E533" s="21"/>
    </row>
    <row r="534" spans="1:5" x14ac:dyDescent="0.3">
      <c r="A534" s="5" t="s">
        <v>456</v>
      </c>
      <c r="C534" s="17"/>
      <c r="D534" s="26">
        <v>74000</v>
      </c>
      <c r="E534" s="21"/>
    </row>
    <row r="535" spans="1:5" x14ac:dyDescent="0.3">
      <c r="A535" s="5" t="s">
        <v>457</v>
      </c>
      <c r="C535" s="17"/>
      <c r="D535" s="26">
        <v>99000</v>
      </c>
      <c r="E535" s="21"/>
    </row>
    <row r="536" spans="1:5" x14ac:dyDescent="0.3">
      <c r="A536" s="3" t="s">
        <v>458</v>
      </c>
      <c r="C536" s="17"/>
      <c r="D536" s="26">
        <v>0</v>
      </c>
      <c r="E536" s="21"/>
    </row>
    <row r="537" spans="1:5" x14ac:dyDescent="0.3">
      <c r="A537" s="5" t="s">
        <v>459</v>
      </c>
      <c r="C537" s="17"/>
      <c r="D537" s="26">
        <v>19000</v>
      </c>
      <c r="E537" s="21"/>
    </row>
    <row r="538" spans="1:5" x14ac:dyDescent="0.3">
      <c r="A538" s="5" t="s">
        <v>460</v>
      </c>
      <c r="C538" s="17"/>
      <c r="D538" s="26">
        <v>37000</v>
      </c>
      <c r="E538" s="21"/>
    </row>
    <row r="539" spans="1:5" x14ac:dyDescent="0.3">
      <c r="A539" s="5" t="s">
        <v>461</v>
      </c>
      <c r="C539" s="17"/>
      <c r="D539" s="26">
        <v>57000</v>
      </c>
      <c r="E539" s="21"/>
    </row>
    <row r="540" spans="1:5" x14ac:dyDescent="0.3">
      <c r="A540" s="5" t="s">
        <v>462</v>
      </c>
      <c r="C540" s="17"/>
      <c r="D540" s="26">
        <v>78144</v>
      </c>
      <c r="E540" s="21" t="s">
        <v>10</v>
      </c>
    </row>
    <row r="541" spans="1:5" x14ac:dyDescent="0.3">
      <c r="A541" s="3" t="s">
        <v>463</v>
      </c>
      <c r="C541" s="17"/>
      <c r="D541" s="26">
        <v>0</v>
      </c>
      <c r="E541" s="21"/>
    </row>
    <row r="542" spans="1:5" x14ac:dyDescent="0.3">
      <c r="A542" s="5" t="s">
        <v>126</v>
      </c>
      <c r="C542" s="17"/>
      <c r="D542" s="26">
        <v>12232</v>
      </c>
      <c r="E542" s="21"/>
    </row>
    <row r="543" spans="1:5" x14ac:dyDescent="0.3">
      <c r="A543" s="5" t="s">
        <v>123</v>
      </c>
      <c r="C543" s="17"/>
      <c r="D543" s="26">
        <v>32190</v>
      </c>
      <c r="E543" s="21"/>
    </row>
    <row r="544" spans="1:5" x14ac:dyDescent="0.3">
      <c r="A544" s="3" t="s">
        <v>464</v>
      </c>
      <c r="C544" s="17"/>
      <c r="D544" s="26">
        <v>0</v>
      </c>
      <c r="E544" s="21"/>
    </row>
    <row r="545" spans="1:6" x14ac:dyDescent="0.3">
      <c r="A545" s="5" t="s">
        <v>126</v>
      </c>
      <c r="C545" s="17"/>
      <c r="D545" s="26">
        <v>10461.75</v>
      </c>
      <c r="E545" s="21"/>
    </row>
    <row r="546" spans="1:6" x14ac:dyDescent="0.3">
      <c r="A546" s="7" t="s">
        <v>465</v>
      </c>
      <c r="C546" s="17"/>
      <c r="D546" s="25">
        <v>9956.7000000000007</v>
      </c>
      <c r="E546" s="24" t="s">
        <v>111</v>
      </c>
    </row>
    <row r="547" spans="1:6" x14ac:dyDescent="0.3">
      <c r="A547" s="5" t="s">
        <v>123</v>
      </c>
      <c r="C547" s="17"/>
      <c r="D547" s="26">
        <v>29000</v>
      </c>
      <c r="E547" s="21"/>
      <c r="F547" t="s">
        <v>42</v>
      </c>
    </row>
    <row r="548" spans="1:6" x14ac:dyDescent="0.3">
      <c r="A548" s="7" t="s">
        <v>466</v>
      </c>
      <c r="C548" s="17"/>
      <c r="D548" s="25">
        <v>25000</v>
      </c>
      <c r="E548" s="24" t="s">
        <v>111</v>
      </c>
    </row>
    <row r="549" spans="1:6" x14ac:dyDescent="0.3">
      <c r="A549" s="3" t="s">
        <v>467</v>
      </c>
      <c r="C549" s="17"/>
      <c r="D549" s="26">
        <v>0</v>
      </c>
      <c r="E549" s="21"/>
    </row>
    <row r="550" spans="1:6" x14ac:dyDescent="0.3">
      <c r="A550" s="5" t="s">
        <v>468</v>
      </c>
      <c r="C550" s="17"/>
      <c r="D550" s="26">
        <v>72000</v>
      </c>
      <c r="E550" s="21"/>
    </row>
    <row r="551" spans="1:6" x14ac:dyDescent="0.3">
      <c r="A551" s="5" t="s">
        <v>469</v>
      </c>
      <c r="C551" s="17"/>
      <c r="D551" s="26">
        <v>92000</v>
      </c>
      <c r="E551" s="21"/>
    </row>
    <row r="552" spans="1:6" x14ac:dyDescent="0.3">
      <c r="A552" s="3" t="s">
        <v>470</v>
      </c>
      <c r="C552" s="17"/>
      <c r="D552" s="26">
        <v>0</v>
      </c>
      <c r="E552" s="21"/>
    </row>
    <row r="553" spans="1:6" x14ac:dyDescent="0.3">
      <c r="A553" s="5" t="s">
        <v>471</v>
      </c>
      <c r="C553" s="17"/>
      <c r="D553" s="26">
        <v>65934</v>
      </c>
      <c r="E553" s="21" t="s">
        <v>10</v>
      </c>
    </row>
    <row r="554" spans="1:6" x14ac:dyDescent="0.3">
      <c r="A554" s="5" t="s">
        <v>472</v>
      </c>
      <c r="C554" s="17"/>
      <c r="D554" s="26">
        <v>86000</v>
      </c>
      <c r="E554" s="21"/>
    </row>
    <row r="555" spans="1:6" x14ac:dyDescent="0.3">
      <c r="A555" s="5" t="s">
        <v>473</v>
      </c>
      <c r="C555" s="17"/>
      <c r="D555" s="26">
        <v>27000</v>
      </c>
      <c r="E555" s="21"/>
    </row>
    <row r="556" spans="1:6" x14ac:dyDescent="0.3">
      <c r="A556" s="5" t="s">
        <v>474</v>
      </c>
      <c r="C556" s="17"/>
      <c r="D556" s="26">
        <v>36500</v>
      </c>
      <c r="E556" s="21"/>
    </row>
    <row r="557" spans="1:6" x14ac:dyDescent="0.3">
      <c r="A557" s="5" t="s">
        <v>475</v>
      </c>
      <c r="C557" s="17"/>
      <c r="E557" s="21"/>
    </row>
    <row r="558" spans="1:6" x14ac:dyDescent="0.3">
      <c r="A558" s="5" t="s">
        <v>174</v>
      </c>
      <c r="C558" s="17"/>
      <c r="D558" s="26">
        <v>8900</v>
      </c>
      <c r="E558" s="21"/>
    </row>
    <row r="559" spans="1:6" x14ac:dyDescent="0.3">
      <c r="A559" s="7" t="s">
        <v>310</v>
      </c>
      <c r="C559" s="17"/>
      <c r="D559" s="25">
        <v>8500</v>
      </c>
      <c r="E559" s="24" t="s">
        <v>111</v>
      </c>
    </row>
    <row r="560" spans="1:6" x14ac:dyDescent="0.3">
      <c r="A560" s="3" t="s">
        <v>476</v>
      </c>
      <c r="C560" s="17"/>
      <c r="D560" s="26">
        <v>0</v>
      </c>
      <c r="E560" s="21"/>
    </row>
    <row r="561" spans="1:5" x14ac:dyDescent="0.3">
      <c r="A561" s="5" t="s">
        <v>477</v>
      </c>
      <c r="C561" s="17"/>
      <c r="D561" s="26">
        <v>12232</v>
      </c>
      <c r="E561" s="21"/>
    </row>
    <row r="562" spans="1:5" x14ac:dyDescent="0.3">
      <c r="A562" s="5" t="s">
        <v>478</v>
      </c>
      <c r="C562" s="17"/>
      <c r="D562" s="26">
        <v>26717.7</v>
      </c>
      <c r="E562" s="21" t="s">
        <v>10</v>
      </c>
    </row>
    <row r="563" spans="1:5" x14ac:dyDescent="0.3">
      <c r="A563" s="3" t="s">
        <v>479</v>
      </c>
      <c r="C563" s="17"/>
      <c r="D563" s="26">
        <v>0</v>
      </c>
      <c r="E563" s="21"/>
    </row>
    <row r="564" spans="1:5" x14ac:dyDescent="0.3">
      <c r="A564" s="5" t="s">
        <v>480</v>
      </c>
      <c r="C564" s="17"/>
      <c r="D564" s="26">
        <v>18315</v>
      </c>
      <c r="E564" s="21"/>
    </row>
    <row r="565" spans="1:5" x14ac:dyDescent="0.3">
      <c r="A565" s="5" t="s">
        <v>481</v>
      </c>
      <c r="C565" s="17"/>
      <c r="D565" s="26">
        <v>79000</v>
      </c>
      <c r="E565" s="21"/>
    </row>
    <row r="566" spans="1:5" x14ac:dyDescent="0.3">
      <c r="A566" s="3" t="s">
        <v>482</v>
      </c>
      <c r="C566" s="17"/>
      <c r="D566" s="26">
        <v>0</v>
      </c>
      <c r="E566" s="21"/>
    </row>
    <row r="567" spans="1:5" x14ac:dyDescent="0.3">
      <c r="A567" s="5" t="s">
        <v>483</v>
      </c>
      <c r="C567" s="17"/>
      <c r="D567" s="26">
        <v>30580.5</v>
      </c>
      <c r="E567" s="21" t="s">
        <v>10</v>
      </c>
    </row>
    <row r="568" spans="1:5" x14ac:dyDescent="0.3">
      <c r="A568" s="3" t="s">
        <v>484</v>
      </c>
      <c r="C568" s="17"/>
      <c r="D568" s="26">
        <v>80475</v>
      </c>
      <c r="E568" s="21"/>
    </row>
    <row r="569" spans="1:5" x14ac:dyDescent="0.3">
      <c r="A569" s="3" t="s">
        <v>485</v>
      </c>
      <c r="C569" s="17"/>
      <c r="D569" s="26">
        <v>30580.5</v>
      </c>
      <c r="E569" s="21" t="s">
        <v>42</v>
      </c>
    </row>
    <row r="570" spans="1:5" x14ac:dyDescent="0.3">
      <c r="A570" s="3" t="s">
        <v>486</v>
      </c>
      <c r="C570" s="17"/>
      <c r="D570" s="26">
        <v>30580.5</v>
      </c>
      <c r="E570" s="21" t="s">
        <v>42</v>
      </c>
    </row>
    <row r="571" spans="1:5" x14ac:dyDescent="0.3">
      <c r="A571" s="3" t="s">
        <v>487</v>
      </c>
      <c r="C571" s="17"/>
      <c r="D571" s="26">
        <v>30580.5</v>
      </c>
      <c r="E571" s="21" t="s">
        <v>42</v>
      </c>
    </row>
    <row r="572" spans="1:5" x14ac:dyDescent="0.3">
      <c r="A572" s="3" t="s">
        <v>488</v>
      </c>
      <c r="C572" s="17"/>
      <c r="D572" s="26">
        <v>0</v>
      </c>
      <c r="E572" s="21"/>
    </row>
    <row r="573" spans="1:5" x14ac:dyDescent="0.3">
      <c r="A573" s="5" t="s">
        <v>7</v>
      </c>
      <c r="C573" s="17"/>
      <c r="D573" s="26">
        <v>12232</v>
      </c>
      <c r="E573" s="21"/>
    </row>
    <row r="574" spans="1:5" x14ac:dyDescent="0.3">
      <c r="A574" s="5" t="s">
        <v>171</v>
      </c>
      <c r="C574" s="17"/>
      <c r="D574" s="26">
        <v>27000</v>
      </c>
      <c r="E574" s="21" t="s">
        <v>10</v>
      </c>
    </row>
    <row r="575" spans="1:5" x14ac:dyDescent="0.3">
      <c r="A575" s="3" t="s">
        <v>489</v>
      </c>
      <c r="C575" s="17"/>
      <c r="D575" s="26">
        <v>0</v>
      </c>
      <c r="E575" s="21"/>
    </row>
    <row r="576" spans="1:5" x14ac:dyDescent="0.3">
      <c r="A576" s="8" t="s">
        <v>490</v>
      </c>
      <c r="B576" s="14"/>
      <c r="C576" s="19"/>
      <c r="D576" s="25">
        <v>27000</v>
      </c>
      <c r="E576" s="24"/>
    </row>
    <row r="577" spans="1:6" x14ac:dyDescent="0.3">
      <c r="A577" s="3" t="s">
        <v>491</v>
      </c>
      <c r="C577" s="17"/>
      <c r="D577" s="26">
        <v>0</v>
      </c>
      <c r="E577" s="21"/>
    </row>
    <row r="578" spans="1:6" x14ac:dyDescent="0.3">
      <c r="A578" s="5" t="s">
        <v>233</v>
      </c>
      <c r="C578" s="17"/>
      <c r="D578" s="26">
        <v>8900</v>
      </c>
      <c r="E578" s="21" t="s">
        <v>42</v>
      </c>
    </row>
    <row r="579" spans="1:6" x14ac:dyDescent="0.3">
      <c r="A579" s="7" t="s">
        <v>492</v>
      </c>
      <c r="C579" s="17"/>
      <c r="D579" s="25">
        <v>8500</v>
      </c>
      <c r="E579" s="24"/>
    </row>
    <row r="580" spans="1:6" x14ac:dyDescent="0.3">
      <c r="A580" s="3" t="s">
        <v>493</v>
      </c>
      <c r="C580" s="17"/>
      <c r="D580" s="26">
        <v>0</v>
      </c>
      <c r="E580" s="21"/>
    </row>
    <row r="581" spans="1:6" x14ac:dyDescent="0.3">
      <c r="A581" s="5" t="s">
        <v>494</v>
      </c>
      <c r="C581" s="17"/>
      <c r="D581" s="26">
        <v>12232</v>
      </c>
      <c r="E581" s="21"/>
    </row>
    <row r="582" spans="1:6" x14ac:dyDescent="0.3">
      <c r="A582" s="7" t="s">
        <v>495</v>
      </c>
      <c r="C582" s="17"/>
      <c r="D582" s="25">
        <v>11500</v>
      </c>
      <c r="E582" s="24" t="s">
        <v>111</v>
      </c>
    </row>
    <row r="583" spans="1:6" x14ac:dyDescent="0.3">
      <c r="A583" s="3" t="s">
        <v>496</v>
      </c>
      <c r="C583" s="17"/>
      <c r="D583" s="26">
        <v>0</v>
      </c>
      <c r="E583" s="21"/>
    </row>
    <row r="584" spans="1:6" x14ac:dyDescent="0.3">
      <c r="A584" s="5" t="s">
        <v>497</v>
      </c>
      <c r="C584" s="17"/>
      <c r="D584" s="26">
        <v>15084.234</v>
      </c>
      <c r="E584" s="21" t="s">
        <v>10</v>
      </c>
    </row>
    <row r="585" spans="1:6" x14ac:dyDescent="0.3">
      <c r="A585" s="3" t="s">
        <v>498</v>
      </c>
      <c r="C585" s="17"/>
      <c r="D585" s="26">
        <v>0</v>
      </c>
      <c r="E585" s="21"/>
    </row>
    <row r="586" spans="1:6" x14ac:dyDescent="0.3">
      <c r="A586" s="5" t="s">
        <v>126</v>
      </c>
      <c r="C586" s="17"/>
      <c r="D586" s="26">
        <v>12232</v>
      </c>
      <c r="E586" s="21"/>
    </row>
    <row r="587" spans="1:6" x14ac:dyDescent="0.3">
      <c r="A587" s="3" t="s">
        <v>499</v>
      </c>
      <c r="C587" s="17"/>
      <c r="D587" s="26">
        <v>0</v>
      </c>
      <c r="E587" s="21"/>
    </row>
    <row r="588" spans="1:6" x14ac:dyDescent="0.3">
      <c r="A588" s="5" t="s">
        <v>500</v>
      </c>
      <c r="C588" s="17"/>
      <c r="D588" s="26">
        <v>28083</v>
      </c>
      <c r="E588" s="21" t="s">
        <v>10</v>
      </c>
    </row>
    <row r="589" spans="1:6" x14ac:dyDescent="0.3">
      <c r="A589" s="5" t="s">
        <v>501</v>
      </c>
      <c r="C589" s="17"/>
      <c r="D589" s="26">
        <v>40800</v>
      </c>
      <c r="E589" s="21"/>
    </row>
    <row r="590" spans="1:6" x14ac:dyDescent="0.3">
      <c r="A590" s="5" t="s">
        <v>502</v>
      </c>
      <c r="C590" s="17"/>
      <c r="D590" s="26">
        <v>78144</v>
      </c>
      <c r="E590" s="21" t="s">
        <v>10</v>
      </c>
    </row>
    <row r="591" spans="1:6" x14ac:dyDescent="0.3">
      <c r="A591" s="3" t="s">
        <v>503</v>
      </c>
      <c r="C591" s="17"/>
      <c r="E591" s="21"/>
    </row>
    <row r="592" spans="1:6" x14ac:dyDescent="0.3">
      <c r="A592" s="3" t="s">
        <v>233</v>
      </c>
      <c r="C592" s="17"/>
      <c r="D592" s="26">
        <v>8900</v>
      </c>
      <c r="E592" s="21"/>
      <c r="F592" t="s">
        <v>42</v>
      </c>
    </row>
    <row r="593" spans="1:6" x14ac:dyDescent="0.3">
      <c r="A593" s="7" t="s">
        <v>492</v>
      </c>
      <c r="B593" s="14"/>
      <c r="C593" s="19"/>
      <c r="D593" s="25">
        <v>8500</v>
      </c>
      <c r="E593" s="24"/>
    </row>
    <row r="594" spans="1:6" x14ac:dyDescent="0.3">
      <c r="A594" s="3" t="s">
        <v>504</v>
      </c>
      <c r="C594" s="17"/>
      <c r="D594" s="26">
        <v>0</v>
      </c>
      <c r="E594" s="21"/>
    </row>
    <row r="595" spans="1:6" x14ac:dyDescent="0.3">
      <c r="A595" s="5" t="s">
        <v>505</v>
      </c>
      <c r="C595" s="17"/>
      <c r="D595" s="26">
        <v>15000</v>
      </c>
      <c r="E595" s="21"/>
    </row>
    <row r="596" spans="1:6" x14ac:dyDescent="0.3">
      <c r="A596" s="5" t="s">
        <v>506</v>
      </c>
      <c r="C596" s="17"/>
      <c r="D596" s="26">
        <v>55000</v>
      </c>
      <c r="E596" s="21"/>
    </row>
    <row r="597" spans="1:6" x14ac:dyDescent="0.3">
      <c r="A597" s="3" t="s">
        <v>507</v>
      </c>
      <c r="C597" s="17"/>
      <c r="D597" s="26">
        <v>0</v>
      </c>
      <c r="E597" s="21"/>
    </row>
    <row r="598" spans="1:6" x14ac:dyDescent="0.3">
      <c r="A598" s="5" t="s">
        <v>372</v>
      </c>
      <c r="C598" s="17"/>
      <c r="D598" s="26">
        <v>8900</v>
      </c>
      <c r="E598" s="21" t="s">
        <v>42</v>
      </c>
      <c r="F598" t="s">
        <v>42</v>
      </c>
    </row>
    <row r="599" spans="1:6" x14ac:dyDescent="0.3">
      <c r="A599" s="7" t="s">
        <v>492</v>
      </c>
      <c r="B599" s="14"/>
      <c r="C599" s="19"/>
      <c r="D599" s="25">
        <v>8500</v>
      </c>
      <c r="E599" s="24"/>
    </row>
    <row r="600" spans="1:6" x14ac:dyDescent="0.3">
      <c r="A600" s="3" t="s">
        <v>508</v>
      </c>
      <c r="C600" s="17"/>
      <c r="D600" s="26">
        <v>0</v>
      </c>
      <c r="E600" s="21"/>
    </row>
    <row r="601" spans="1:6" x14ac:dyDescent="0.3">
      <c r="A601" s="5" t="s">
        <v>509</v>
      </c>
      <c r="C601" s="17"/>
      <c r="D601" s="26">
        <v>79365</v>
      </c>
      <c r="E601" s="21"/>
    </row>
    <row r="602" spans="1:6" x14ac:dyDescent="0.3">
      <c r="A602" s="5" t="s">
        <v>510</v>
      </c>
      <c r="C602" s="17"/>
      <c r="D602" s="26">
        <v>133089</v>
      </c>
      <c r="E602" s="21"/>
    </row>
    <row r="603" spans="1:6" x14ac:dyDescent="0.3">
      <c r="A603" s="5" t="s">
        <v>511</v>
      </c>
      <c r="C603" s="17"/>
      <c r="D603" s="26">
        <v>219780</v>
      </c>
      <c r="E603" s="21"/>
    </row>
    <row r="604" spans="1:6" x14ac:dyDescent="0.3">
      <c r="A604" s="7" t="s">
        <v>512</v>
      </c>
      <c r="C604" s="17"/>
      <c r="D604" s="25">
        <v>366300</v>
      </c>
      <c r="E604" s="24"/>
    </row>
    <row r="605" spans="1:6" x14ac:dyDescent="0.3">
      <c r="A605" s="3" t="s">
        <v>513</v>
      </c>
      <c r="C605" s="17"/>
      <c r="D605" s="26">
        <v>0</v>
      </c>
      <c r="E605" s="21"/>
    </row>
    <row r="606" spans="1:6" x14ac:dyDescent="0.3">
      <c r="A606" s="5" t="s">
        <v>221</v>
      </c>
      <c r="C606" s="17"/>
      <c r="D606" s="26">
        <v>28000</v>
      </c>
      <c r="E606" s="21"/>
    </row>
    <row r="607" spans="1:6" x14ac:dyDescent="0.3">
      <c r="A607" s="5" t="s">
        <v>123</v>
      </c>
      <c r="C607" s="17"/>
      <c r="D607" s="26">
        <v>41000</v>
      </c>
      <c r="E607" s="21"/>
    </row>
    <row r="608" spans="1:6" x14ac:dyDescent="0.3">
      <c r="A608" s="3" t="s">
        <v>514</v>
      </c>
      <c r="C608" s="17"/>
      <c r="E608" s="21"/>
    </row>
    <row r="609" spans="1:5" x14ac:dyDescent="0.3">
      <c r="A609" s="5" t="s">
        <v>7</v>
      </c>
      <c r="C609" s="17"/>
      <c r="D609" s="26">
        <v>19314</v>
      </c>
      <c r="E609" s="21" t="s">
        <v>10</v>
      </c>
    </row>
    <row r="610" spans="1:5" x14ac:dyDescent="0.3">
      <c r="A610" s="5" t="s">
        <v>13</v>
      </c>
      <c r="C610" s="17"/>
      <c r="D610" s="26">
        <v>40237.5</v>
      </c>
      <c r="E610" s="21" t="s">
        <v>10</v>
      </c>
    </row>
    <row r="611" spans="1:5" x14ac:dyDescent="0.3">
      <c r="A611" s="3" t="s">
        <v>515</v>
      </c>
      <c r="C611" s="17"/>
      <c r="D611" s="26">
        <v>0</v>
      </c>
      <c r="E611" s="21"/>
    </row>
    <row r="612" spans="1:5" x14ac:dyDescent="0.3">
      <c r="A612" s="5" t="s">
        <v>516</v>
      </c>
      <c r="C612" s="17"/>
      <c r="D612" s="26">
        <v>58608</v>
      </c>
      <c r="E612" s="21" t="s">
        <v>10</v>
      </c>
    </row>
    <row r="613" spans="1:5" x14ac:dyDescent="0.3">
      <c r="A613" s="5" t="s">
        <v>517</v>
      </c>
      <c r="C613" s="17"/>
      <c r="D613" s="26">
        <v>67155</v>
      </c>
      <c r="E613" s="21" t="s">
        <v>42</v>
      </c>
    </row>
    <row r="614" spans="1:5" x14ac:dyDescent="0.3">
      <c r="A614" s="5" t="s">
        <v>518</v>
      </c>
      <c r="C614" s="17"/>
      <c r="D614" s="26">
        <v>78144</v>
      </c>
      <c r="E614" s="21"/>
    </row>
    <row r="615" spans="1:5" x14ac:dyDescent="0.3">
      <c r="A615" s="3" t="s">
        <v>519</v>
      </c>
      <c r="C615" s="17"/>
      <c r="D615" s="26">
        <v>0</v>
      </c>
      <c r="E615" s="21"/>
    </row>
    <row r="616" spans="1:5" x14ac:dyDescent="0.3">
      <c r="A616" s="5" t="s">
        <v>520</v>
      </c>
      <c r="C616" s="17"/>
      <c r="D616" s="26">
        <v>12232</v>
      </c>
      <c r="E616" s="21"/>
    </row>
    <row r="617" spans="1:5" x14ac:dyDescent="0.3">
      <c r="A617" s="5" t="s">
        <v>521</v>
      </c>
      <c r="C617" s="17"/>
      <c r="D617" s="26">
        <v>27000</v>
      </c>
      <c r="E617" s="21"/>
    </row>
    <row r="618" spans="1:5" x14ac:dyDescent="0.3">
      <c r="A618" s="3" t="s">
        <v>522</v>
      </c>
      <c r="C618" s="17"/>
      <c r="D618" s="26">
        <v>0</v>
      </c>
      <c r="E618" s="21"/>
    </row>
    <row r="619" spans="1:5" x14ac:dyDescent="0.3">
      <c r="A619" s="5" t="s">
        <v>523</v>
      </c>
      <c r="C619" s="17"/>
      <c r="D619" s="26">
        <v>32000</v>
      </c>
      <c r="E619" s="21"/>
    </row>
    <row r="620" spans="1:5" x14ac:dyDescent="0.3">
      <c r="A620" s="5" t="s">
        <v>524</v>
      </c>
      <c r="C620" s="17"/>
      <c r="D620" s="26">
        <v>59000</v>
      </c>
      <c r="E620" s="21"/>
    </row>
    <row r="621" spans="1:5" x14ac:dyDescent="0.3">
      <c r="A621" s="3" t="s">
        <v>525</v>
      </c>
      <c r="C621" s="17"/>
      <c r="D621" s="26">
        <v>0</v>
      </c>
      <c r="E621" s="21"/>
    </row>
    <row r="622" spans="1:5" x14ac:dyDescent="0.3">
      <c r="A622" s="5" t="s">
        <v>526</v>
      </c>
      <c r="C622" s="17"/>
      <c r="D622" s="26">
        <v>59000</v>
      </c>
      <c r="E622" s="21"/>
    </row>
    <row r="623" spans="1:5" x14ac:dyDescent="0.3">
      <c r="A623" s="5" t="s">
        <v>346</v>
      </c>
      <c r="C623" s="17"/>
      <c r="D623" s="26">
        <v>72000</v>
      </c>
      <c r="E623" s="21"/>
    </row>
    <row r="624" spans="1:5" x14ac:dyDescent="0.3">
      <c r="A624" s="5" t="s">
        <v>527</v>
      </c>
      <c r="C624" s="17"/>
      <c r="D624" s="26">
        <v>104000</v>
      </c>
      <c r="E624" s="21"/>
    </row>
    <row r="625" spans="1:5" x14ac:dyDescent="0.3">
      <c r="A625" s="5" t="s">
        <v>528</v>
      </c>
      <c r="C625" s="17"/>
      <c r="D625" s="26">
        <v>121000</v>
      </c>
      <c r="E625" s="21"/>
    </row>
    <row r="626" spans="1:5" x14ac:dyDescent="0.3">
      <c r="A626" s="3" t="s">
        <v>529</v>
      </c>
      <c r="C626" s="17"/>
      <c r="D626" s="26" t="s">
        <v>42</v>
      </c>
      <c r="E626" s="21"/>
    </row>
    <row r="627" spans="1:5" x14ac:dyDescent="0.3">
      <c r="A627" s="5" t="s">
        <v>530</v>
      </c>
      <c r="C627" s="17"/>
      <c r="D627" s="26">
        <v>21000</v>
      </c>
      <c r="E627" s="21"/>
    </row>
    <row r="628" spans="1:5" x14ac:dyDescent="0.3">
      <c r="A628" s="5" t="s">
        <v>531</v>
      </c>
      <c r="C628" s="17"/>
      <c r="D628" s="26">
        <v>45000</v>
      </c>
      <c r="E628" s="21"/>
    </row>
    <row r="629" spans="1:5" x14ac:dyDescent="0.3">
      <c r="A629" s="5" t="s">
        <v>532</v>
      </c>
      <c r="C629" s="17"/>
      <c r="D629" s="26">
        <v>75000</v>
      </c>
      <c r="E629" s="21"/>
    </row>
    <row r="630" spans="1:5" x14ac:dyDescent="0.3">
      <c r="A630" s="5" t="s">
        <v>533</v>
      </c>
      <c r="C630" s="17"/>
      <c r="D630" s="26">
        <v>99000</v>
      </c>
      <c r="E630" s="21"/>
    </row>
    <row r="631" spans="1:5" x14ac:dyDescent="0.3">
      <c r="A631" s="3" t="s">
        <v>534</v>
      </c>
      <c r="C631" s="17"/>
      <c r="D631" s="26">
        <v>0</v>
      </c>
      <c r="E631" s="21"/>
    </row>
    <row r="632" spans="1:5" x14ac:dyDescent="0.3">
      <c r="A632" s="5" t="s">
        <v>535</v>
      </c>
      <c r="C632" s="17"/>
      <c r="D632" s="26">
        <v>18000</v>
      </c>
      <c r="E632" s="21"/>
    </row>
    <row r="633" spans="1:5" x14ac:dyDescent="0.3">
      <c r="A633" s="5" t="s">
        <v>536</v>
      </c>
      <c r="C633" s="17"/>
      <c r="D633" s="26">
        <v>76000</v>
      </c>
      <c r="E633" s="21"/>
    </row>
    <row r="634" spans="1:5" x14ac:dyDescent="0.3">
      <c r="A634" s="3" t="s">
        <v>537</v>
      </c>
      <c r="C634" s="17"/>
      <c r="D634" s="26">
        <v>0</v>
      </c>
      <c r="E634" s="21"/>
    </row>
    <row r="635" spans="1:5" x14ac:dyDescent="0.3">
      <c r="A635" s="5" t="s">
        <v>126</v>
      </c>
      <c r="C635" s="17"/>
      <c r="D635" s="26">
        <v>8900</v>
      </c>
      <c r="E635" s="21"/>
    </row>
    <row r="636" spans="1:5" x14ac:dyDescent="0.3">
      <c r="A636" s="7" t="s">
        <v>538</v>
      </c>
      <c r="C636" s="17"/>
      <c r="D636" s="25">
        <v>8500</v>
      </c>
      <c r="E636" s="24" t="s">
        <v>111</v>
      </c>
    </row>
    <row r="637" spans="1:5" x14ac:dyDescent="0.3">
      <c r="A637" s="3" t="s">
        <v>539</v>
      </c>
      <c r="B637" s="33"/>
      <c r="C637" s="17"/>
      <c r="D637" s="34"/>
      <c r="E637" s="21"/>
    </row>
    <row r="638" spans="1:5" x14ac:dyDescent="0.3">
      <c r="A638" s="5" t="s">
        <v>61</v>
      </c>
      <c r="B638" s="33"/>
      <c r="C638" s="17"/>
      <c r="D638" s="34">
        <v>8900</v>
      </c>
      <c r="E638" s="21"/>
    </row>
    <row r="639" spans="1:5" x14ac:dyDescent="0.3">
      <c r="A639" s="7" t="s">
        <v>492</v>
      </c>
      <c r="C639" s="17"/>
      <c r="D639" s="25">
        <v>8500</v>
      </c>
      <c r="E639" s="24"/>
    </row>
    <row r="640" spans="1:5" x14ac:dyDescent="0.3">
      <c r="A640" s="3" t="s">
        <v>540</v>
      </c>
      <c r="C640" s="17"/>
      <c r="E640" s="21"/>
    </row>
    <row r="641" spans="1:5" x14ac:dyDescent="0.3">
      <c r="A641" s="5" t="s">
        <v>541</v>
      </c>
      <c r="C641" s="17"/>
      <c r="D641" s="26">
        <v>12232</v>
      </c>
      <c r="E641" s="21"/>
    </row>
    <row r="642" spans="1:5" x14ac:dyDescent="0.3">
      <c r="A642" s="5" t="s">
        <v>542</v>
      </c>
      <c r="C642" s="17"/>
      <c r="D642" s="26">
        <v>27000</v>
      </c>
      <c r="E642" s="21"/>
    </row>
    <row r="643" spans="1:5" x14ac:dyDescent="0.3">
      <c r="A643" s="3" t="s">
        <v>543</v>
      </c>
      <c r="C643" s="17"/>
      <c r="D643" s="26" t="s">
        <v>42</v>
      </c>
      <c r="E643" s="21"/>
    </row>
    <row r="644" spans="1:5" x14ac:dyDescent="0.3">
      <c r="A644" s="5" t="s">
        <v>61</v>
      </c>
      <c r="C644" s="17"/>
      <c r="D644" s="26">
        <v>12232</v>
      </c>
      <c r="E644" s="21"/>
    </row>
    <row r="645" spans="1:5" x14ac:dyDescent="0.3">
      <c r="A645" s="5" t="s">
        <v>228</v>
      </c>
      <c r="C645" s="17"/>
      <c r="D645" s="26">
        <v>27000</v>
      </c>
      <c r="E645" s="21"/>
    </row>
    <row r="646" spans="1:5" x14ac:dyDescent="0.3">
      <c r="A646" s="3" t="s">
        <v>544</v>
      </c>
      <c r="C646" s="17"/>
      <c r="D646" s="26">
        <v>0</v>
      </c>
      <c r="E646" s="21"/>
    </row>
    <row r="647" spans="1:5" x14ac:dyDescent="0.3">
      <c r="A647" s="5" t="s">
        <v>7</v>
      </c>
      <c r="C647" s="17"/>
      <c r="D647" s="26">
        <v>12232</v>
      </c>
      <c r="E647" s="21"/>
    </row>
    <row r="648" spans="1:5" x14ac:dyDescent="0.3">
      <c r="A648" s="5" t="s">
        <v>545</v>
      </c>
      <c r="C648" s="17"/>
      <c r="D648" s="26">
        <v>27000</v>
      </c>
      <c r="E648" s="21"/>
    </row>
    <row r="649" spans="1:5" x14ac:dyDescent="0.3">
      <c r="A649" s="5" t="s">
        <v>546</v>
      </c>
      <c r="C649" s="17"/>
      <c r="D649" s="26">
        <v>36500</v>
      </c>
      <c r="E649" s="21"/>
    </row>
    <row r="650" spans="1:5" x14ac:dyDescent="0.3">
      <c r="A650" s="5" t="s">
        <v>547</v>
      </c>
      <c r="C650" s="17"/>
      <c r="D650" s="26">
        <v>49000</v>
      </c>
      <c r="E650" s="21"/>
    </row>
    <row r="651" spans="1:5" x14ac:dyDescent="0.3">
      <c r="A651" s="3" t="s">
        <v>548</v>
      </c>
      <c r="C651" s="17"/>
      <c r="D651" s="26">
        <v>0</v>
      </c>
      <c r="E651" s="21"/>
    </row>
    <row r="652" spans="1:5" x14ac:dyDescent="0.3">
      <c r="A652" s="5" t="s">
        <v>7</v>
      </c>
      <c r="C652" s="17"/>
      <c r="D652" s="26">
        <v>12232</v>
      </c>
      <c r="E652" s="21"/>
    </row>
    <row r="653" spans="1:5" x14ac:dyDescent="0.3">
      <c r="A653" s="5" t="s">
        <v>549</v>
      </c>
      <c r="C653" s="17"/>
      <c r="D653" s="26">
        <v>27000</v>
      </c>
      <c r="E653" s="21"/>
    </row>
    <row r="654" spans="1:5" x14ac:dyDescent="0.3">
      <c r="A654" s="3" t="s">
        <v>550</v>
      </c>
      <c r="C654" s="17"/>
      <c r="D654" s="26">
        <v>0</v>
      </c>
      <c r="E654" s="21"/>
    </row>
    <row r="655" spans="1:5" x14ac:dyDescent="0.3">
      <c r="A655" s="5" t="s">
        <v>551</v>
      </c>
      <c r="C655" s="17"/>
      <c r="D655" s="26">
        <v>8900</v>
      </c>
      <c r="E655" s="21" t="s">
        <v>10</v>
      </c>
    </row>
    <row r="656" spans="1:5" x14ac:dyDescent="0.3">
      <c r="A656" s="3" t="s">
        <v>552</v>
      </c>
      <c r="C656" s="17"/>
      <c r="D656" s="26">
        <v>0</v>
      </c>
      <c r="E656" s="21"/>
    </row>
    <row r="657" spans="1:5" x14ac:dyDescent="0.3">
      <c r="A657" s="5" t="s">
        <v>553</v>
      </c>
      <c r="C657" s="17"/>
      <c r="D657" s="26">
        <v>8900</v>
      </c>
      <c r="E657" s="21" t="s">
        <v>10</v>
      </c>
    </row>
    <row r="658" spans="1:5" x14ac:dyDescent="0.3">
      <c r="A658" s="3" t="s">
        <v>554</v>
      </c>
      <c r="C658" s="17"/>
      <c r="D658" s="26">
        <v>0</v>
      </c>
      <c r="E658" s="21"/>
    </row>
    <row r="659" spans="1:5" x14ac:dyDescent="0.3">
      <c r="A659" s="5" t="s">
        <v>309</v>
      </c>
      <c r="C659" s="17"/>
      <c r="D659" s="26">
        <v>12232</v>
      </c>
      <c r="E659" s="21"/>
    </row>
    <row r="660" spans="1:5" x14ac:dyDescent="0.3">
      <c r="A660" s="3" t="s">
        <v>555</v>
      </c>
      <c r="C660" s="17"/>
      <c r="D660" s="26">
        <v>0</v>
      </c>
      <c r="E660" s="21"/>
    </row>
    <row r="661" spans="1:5" x14ac:dyDescent="0.3">
      <c r="A661" s="5" t="s">
        <v>556</v>
      </c>
      <c r="C661" s="17"/>
      <c r="D661" s="26">
        <v>12323</v>
      </c>
      <c r="E661" s="21"/>
    </row>
    <row r="662" spans="1:5" x14ac:dyDescent="0.3">
      <c r="A662" s="5" t="s">
        <v>557</v>
      </c>
      <c r="C662" s="17"/>
      <c r="D662" s="26">
        <v>27000</v>
      </c>
      <c r="E662" s="21"/>
    </row>
    <row r="663" spans="1:5" x14ac:dyDescent="0.3">
      <c r="A663" s="3" t="s">
        <v>558</v>
      </c>
      <c r="C663" s="17"/>
      <c r="D663" s="26">
        <v>0</v>
      </c>
      <c r="E663" s="21"/>
    </row>
    <row r="664" spans="1:5" x14ac:dyDescent="0.3">
      <c r="A664" s="5" t="s">
        <v>174</v>
      </c>
      <c r="C664" s="17"/>
      <c r="D664" s="26">
        <v>8900</v>
      </c>
      <c r="E664" s="21"/>
    </row>
    <row r="665" spans="1:5" x14ac:dyDescent="0.3">
      <c r="A665" s="5"/>
      <c r="C665" s="20"/>
      <c r="E665" s="21"/>
    </row>
    <row r="666" spans="1:5" x14ac:dyDescent="0.3">
      <c r="A666" s="9" t="s">
        <v>559</v>
      </c>
      <c r="C666" s="20"/>
      <c r="E666" s="21"/>
    </row>
    <row r="667" spans="1:5" x14ac:dyDescent="0.3">
      <c r="A667" s="3" t="s">
        <v>560</v>
      </c>
      <c r="C667" s="20"/>
      <c r="D667" s="26">
        <v>40000</v>
      </c>
      <c r="E667" s="21"/>
    </row>
    <row r="668" spans="1:5" x14ac:dyDescent="0.3">
      <c r="A668" s="3" t="s">
        <v>561</v>
      </c>
      <c r="C668" s="20"/>
      <c r="D668" s="26">
        <v>27000</v>
      </c>
      <c r="E668" s="21" t="s">
        <v>10</v>
      </c>
    </row>
    <row r="669" spans="1:5" x14ac:dyDescent="0.3">
      <c r="A669" s="3" t="s">
        <v>562</v>
      </c>
      <c r="C669" s="20"/>
      <c r="D669" s="26">
        <v>68000</v>
      </c>
      <c r="E669" s="21" t="s">
        <v>42</v>
      </c>
    </row>
    <row r="670" spans="1:5" x14ac:dyDescent="0.3">
      <c r="A670" s="3" t="s">
        <v>563</v>
      </c>
      <c r="C670" s="20"/>
      <c r="D670" s="26">
        <v>40000</v>
      </c>
      <c r="E670" s="21"/>
    </row>
    <row r="671" spans="1:5" x14ac:dyDescent="0.3">
      <c r="A671" s="3" t="s">
        <v>564</v>
      </c>
      <c r="C671" s="20"/>
      <c r="D671" s="26">
        <v>79254</v>
      </c>
      <c r="E671" s="21" t="s">
        <v>10</v>
      </c>
    </row>
    <row r="672" spans="1:5" x14ac:dyDescent="0.3">
      <c r="A672" s="3" t="s">
        <v>565</v>
      </c>
      <c r="C672" s="20"/>
      <c r="D672" s="26">
        <v>70000</v>
      </c>
      <c r="E672" s="21"/>
    </row>
    <row r="673" spans="1:5" x14ac:dyDescent="0.3">
      <c r="A673" s="3" t="s">
        <v>566</v>
      </c>
      <c r="C673" s="20"/>
      <c r="D673" s="26">
        <v>70000</v>
      </c>
      <c r="E673" s="21"/>
    </row>
    <row r="674" spans="1:5" x14ac:dyDescent="0.3">
      <c r="A674" s="3" t="s">
        <v>567</v>
      </c>
      <c r="C674" s="20"/>
      <c r="D674" s="26">
        <v>44000</v>
      </c>
      <c r="E674" s="21"/>
    </row>
    <row r="675" spans="1:5" x14ac:dyDescent="0.3">
      <c r="A675" s="3" t="s">
        <v>568</v>
      </c>
      <c r="C675" s="20"/>
      <c r="D675" s="26">
        <v>36000</v>
      </c>
      <c r="E675" s="21"/>
    </row>
    <row r="676" spans="1:5" x14ac:dyDescent="0.3">
      <c r="A676" s="3" t="s">
        <v>569</v>
      </c>
      <c r="C676" s="20"/>
      <c r="D676" s="26">
        <v>36000</v>
      </c>
      <c r="E676" s="21"/>
    </row>
    <row r="677" spans="1:5" x14ac:dyDescent="0.3">
      <c r="A677" s="3" t="s">
        <v>570</v>
      </c>
      <c r="C677" s="20"/>
      <c r="D677" s="26">
        <v>36000</v>
      </c>
      <c r="E677" s="21"/>
    </row>
    <row r="678" spans="1:5" x14ac:dyDescent="0.3">
      <c r="A678" s="3" t="s">
        <v>571</v>
      </c>
      <c r="C678" s="20"/>
      <c r="D678" s="26">
        <v>36000</v>
      </c>
      <c r="E678" s="21"/>
    </row>
    <row r="679" spans="1:5" x14ac:dyDescent="0.3">
      <c r="A679" s="3" t="s">
        <v>572</v>
      </c>
      <c r="C679" s="20"/>
      <c r="D679" s="26">
        <v>36000</v>
      </c>
      <c r="E679" s="21"/>
    </row>
    <row r="680" spans="1:5" x14ac:dyDescent="0.3">
      <c r="A680" s="3" t="s">
        <v>573</v>
      </c>
      <c r="C680" s="20"/>
      <c r="D680" s="26">
        <v>44000</v>
      </c>
      <c r="E680" s="21"/>
    </row>
    <row r="681" spans="1:5" x14ac:dyDescent="0.3">
      <c r="A681" s="3" t="s">
        <v>574</v>
      </c>
      <c r="C681" s="20"/>
      <c r="D681" s="26">
        <v>44000</v>
      </c>
      <c r="E681" s="21"/>
    </row>
    <row r="682" spans="1:5" x14ac:dyDescent="0.3">
      <c r="A682" s="3" t="s">
        <v>575</v>
      </c>
      <c r="C682" s="20"/>
      <c r="D682" s="26">
        <v>30000</v>
      </c>
      <c r="E682" s="21"/>
    </row>
    <row r="683" spans="1:5" x14ac:dyDescent="0.3">
      <c r="A683" s="3" t="s">
        <v>576</v>
      </c>
      <c r="C683" s="20"/>
      <c r="D683" s="26">
        <v>60000</v>
      </c>
      <c r="E683" s="21"/>
    </row>
    <row r="684" spans="1:5" x14ac:dyDescent="0.3">
      <c r="A684" s="3" t="s">
        <v>577</v>
      </c>
      <c r="C684" s="20"/>
      <c r="D684" s="26">
        <v>64158</v>
      </c>
      <c r="E684" s="21" t="s">
        <v>10</v>
      </c>
    </row>
    <row r="685" spans="1:5" x14ac:dyDescent="0.3">
      <c r="A685" s="3" t="s">
        <v>578</v>
      </c>
      <c r="C685" s="20"/>
      <c r="D685" s="26">
        <v>44000</v>
      </c>
      <c r="E685" s="21"/>
    </row>
    <row r="686" spans="1:5" x14ac:dyDescent="0.3">
      <c r="A686" s="3" t="s">
        <v>579</v>
      </c>
      <c r="C686" s="20"/>
      <c r="D686" s="26">
        <v>48000</v>
      </c>
      <c r="E686" s="21" t="s">
        <v>42</v>
      </c>
    </row>
    <row r="687" spans="1:5" x14ac:dyDescent="0.3">
      <c r="A687" s="3" t="s">
        <v>580</v>
      </c>
      <c r="C687" s="20"/>
      <c r="D687" s="26">
        <v>62000</v>
      </c>
      <c r="E687" s="21"/>
    </row>
    <row r="688" spans="1:5" x14ac:dyDescent="0.3">
      <c r="A688" s="3" t="s">
        <v>581</v>
      </c>
      <c r="C688" s="20"/>
      <c r="D688" s="26">
        <v>60000</v>
      </c>
      <c r="E688" s="21"/>
    </row>
    <row r="689" spans="1:5" x14ac:dyDescent="0.3">
      <c r="A689" s="3" t="s">
        <v>582</v>
      </c>
      <c r="C689" s="20"/>
      <c r="D689" s="26">
        <v>75000</v>
      </c>
      <c r="E689" s="21"/>
    </row>
    <row r="690" spans="1:5" x14ac:dyDescent="0.3">
      <c r="A690" s="3" t="s">
        <v>583</v>
      </c>
      <c r="C690" s="20"/>
      <c r="D690" s="26">
        <v>44000</v>
      </c>
      <c r="E690" s="21"/>
    </row>
    <row r="691" spans="1:5" x14ac:dyDescent="0.3">
      <c r="A691" s="3" t="s">
        <v>584</v>
      </c>
      <c r="C691" s="20"/>
      <c r="D691" s="26">
        <v>44000</v>
      </c>
      <c r="E691" s="21"/>
    </row>
    <row r="692" spans="1:5" x14ac:dyDescent="0.3">
      <c r="A692" s="3" t="s">
        <v>585</v>
      </c>
      <c r="C692" s="20"/>
      <c r="D692" s="26">
        <v>44000</v>
      </c>
      <c r="E692" s="21"/>
    </row>
    <row r="693" spans="1:5" x14ac:dyDescent="0.3">
      <c r="A693" s="3" t="s">
        <v>586</v>
      </c>
      <c r="C693" s="20"/>
      <c r="D693" s="26">
        <v>44000</v>
      </c>
      <c r="E693" s="21"/>
    </row>
    <row r="694" spans="1:5" x14ac:dyDescent="0.3">
      <c r="A694" s="3" t="s">
        <v>587</v>
      </c>
      <c r="C694" s="20"/>
      <c r="D694" s="26">
        <v>51892.5</v>
      </c>
      <c r="E694" s="21" t="s">
        <v>10</v>
      </c>
    </row>
    <row r="695" spans="1:5" x14ac:dyDescent="0.3">
      <c r="A695" s="3" t="s">
        <v>588</v>
      </c>
      <c r="C695" s="20"/>
      <c r="D695" s="26">
        <v>59000</v>
      </c>
      <c r="E695" s="21"/>
    </row>
    <row r="696" spans="1:5" x14ac:dyDescent="0.3">
      <c r="A696" s="3" t="s">
        <v>589</v>
      </c>
      <c r="C696" s="20"/>
      <c r="D696" s="26">
        <v>70000</v>
      </c>
      <c r="E696" s="21"/>
    </row>
    <row r="697" spans="1:5" x14ac:dyDescent="0.3">
      <c r="A697" s="3" t="s">
        <v>590</v>
      </c>
      <c r="C697" s="20"/>
      <c r="D697" s="26">
        <v>56610</v>
      </c>
      <c r="E697" s="21" t="s">
        <v>10</v>
      </c>
    </row>
    <row r="698" spans="1:5" x14ac:dyDescent="0.3">
      <c r="A698" s="3" t="s">
        <v>591</v>
      </c>
      <c r="C698" s="20"/>
      <c r="D698" s="26">
        <v>75000</v>
      </c>
      <c r="E698" s="21"/>
    </row>
    <row r="699" spans="1:5" x14ac:dyDescent="0.3">
      <c r="A699" s="3" t="s">
        <v>592</v>
      </c>
      <c r="C699" s="20"/>
      <c r="D699" s="26">
        <v>46750</v>
      </c>
      <c r="E699" s="21" t="s">
        <v>10</v>
      </c>
    </row>
    <row r="700" spans="1:5" x14ac:dyDescent="0.3">
      <c r="A700" s="3"/>
      <c r="C700" s="20"/>
      <c r="E700" s="21"/>
    </row>
    <row r="701" spans="1:5" x14ac:dyDescent="0.3">
      <c r="A701" s="9" t="s">
        <v>593</v>
      </c>
      <c r="C701" s="20"/>
      <c r="E701" s="21"/>
    </row>
    <row r="702" spans="1:5" x14ac:dyDescent="0.3">
      <c r="A702" s="3" t="s">
        <v>594</v>
      </c>
      <c r="C702" s="20"/>
      <c r="D702" s="26">
        <v>9900</v>
      </c>
      <c r="E702" s="21"/>
    </row>
    <row r="703" spans="1:5" x14ac:dyDescent="0.3">
      <c r="A703" s="10" t="s">
        <v>595</v>
      </c>
      <c r="C703" s="20"/>
      <c r="D703" s="26">
        <v>9900</v>
      </c>
      <c r="E703" s="21"/>
    </row>
    <row r="704" spans="1:5" x14ac:dyDescent="0.3">
      <c r="A704" s="10" t="s">
        <v>596</v>
      </c>
      <c r="C704" s="20"/>
      <c r="D704" s="26">
        <v>4467.75</v>
      </c>
      <c r="E704" s="21"/>
    </row>
    <row r="705" spans="1:5" x14ac:dyDescent="0.3">
      <c r="A705" s="10" t="s">
        <v>597</v>
      </c>
      <c r="C705" s="20"/>
      <c r="D705" s="26">
        <v>3330</v>
      </c>
      <c r="E705" s="21"/>
    </row>
    <row r="706" spans="1:5" x14ac:dyDescent="0.3">
      <c r="A706" s="10" t="s">
        <v>598</v>
      </c>
      <c r="C706" s="20"/>
      <c r="D706" s="26">
        <v>3330</v>
      </c>
      <c r="E706" s="21"/>
    </row>
    <row r="707" spans="1:5" x14ac:dyDescent="0.3">
      <c r="A707" s="10" t="s">
        <v>599</v>
      </c>
      <c r="C707" s="20"/>
      <c r="D707" s="26">
        <v>10212</v>
      </c>
      <c r="E707" s="21"/>
    </row>
    <row r="708" spans="1:5" x14ac:dyDescent="0.3">
      <c r="A708" s="10" t="s">
        <v>600</v>
      </c>
      <c r="C708" s="20"/>
      <c r="D708" s="26">
        <v>6382.5</v>
      </c>
      <c r="E708" s="21"/>
    </row>
    <row r="709" spans="1:5" x14ac:dyDescent="0.3">
      <c r="A709" s="10" t="s">
        <v>601</v>
      </c>
      <c r="C709" s="20"/>
      <c r="D709" s="26">
        <v>3829.5</v>
      </c>
      <c r="E709" s="21"/>
    </row>
    <row r="710" spans="1:5" x14ac:dyDescent="0.3">
      <c r="A710" s="10" t="s">
        <v>602</v>
      </c>
      <c r="C710" s="20"/>
      <c r="D710" s="26">
        <v>2553</v>
      </c>
      <c r="E710" s="21"/>
    </row>
    <row r="711" spans="1:5" x14ac:dyDescent="0.3">
      <c r="A711" s="10" t="s">
        <v>603</v>
      </c>
      <c r="C711" s="20"/>
      <c r="D711" s="26">
        <v>12432</v>
      </c>
      <c r="E711" s="21"/>
    </row>
    <row r="712" spans="1:5" x14ac:dyDescent="0.3">
      <c r="A712" s="10" t="s">
        <v>604</v>
      </c>
      <c r="C712" s="20"/>
      <c r="D712" s="26">
        <v>3191.25</v>
      </c>
      <c r="E712" s="21"/>
    </row>
    <row r="713" spans="1:5" x14ac:dyDescent="0.3">
      <c r="A713" s="10" t="s">
        <v>605</v>
      </c>
      <c r="C713" s="20"/>
      <c r="D713" s="26">
        <v>15984</v>
      </c>
      <c r="E713" s="21"/>
    </row>
    <row r="714" spans="1:5" x14ac:dyDescent="0.3">
      <c r="A714" s="11" t="s">
        <v>606</v>
      </c>
      <c r="C714" s="20"/>
      <c r="D714" s="26">
        <v>3829.5</v>
      </c>
      <c r="E714" s="21"/>
    </row>
  </sheetData>
  <hyperlinks>
    <hyperlink ref="A7" r:id="rId1" xr:uid="{00000000-0004-0000-0000-000000000000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5"/>
  <sheetViews>
    <sheetView showGridLines="0" workbookViewId="0">
      <pane ySplit="4" topLeftCell="A150" activePane="bottomLeft" state="frozen"/>
      <selection pane="bottomLeft" activeCell="B135" sqref="B135"/>
    </sheetView>
  </sheetViews>
  <sheetFormatPr baseColWidth="10" defaultColWidth="9.140625" defaultRowHeight="15" x14ac:dyDescent="0.25"/>
  <cols>
    <col min="1" max="1" width="42" customWidth="1"/>
    <col min="2" max="2" width="95" customWidth="1"/>
  </cols>
  <sheetData>
    <row r="1" spans="1:2" ht="18.75" customHeight="1" x14ac:dyDescent="0.3">
      <c r="A1" s="29" t="s">
        <v>775</v>
      </c>
    </row>
    <row r="2" spans="1:2" ht="45" customHeight="1" x14ac:dyDescent="0.25">
      <c r="A2" s="30"/>
    </row>
    <row r="4" spans="1:2" x14ac:dyDescent="0.25">
      <c r="A4" s="31" t="s">
        <v>607</v>
      </c>
      <c r="B4" s="31" t="s">
        <v>608</v>
      </c>
    </row>
    <row r="5" spans="1:2" ht="120" customHeight="1" x14ac:dyDescent="0.25">
      <c r="A5" s="32" t="s">
        <v>609</v>
      </c>
      <c r="B5" s="32" t="str">
        <f>"🌱 ABEDUL ( BETULA ALBA)"&amp;CHAR(10)&amp;""&amp;CHAR(10)&amp;""&amp;"📏 "&amp;SUBSTITUTE(TRIM(Hoja1!A9),"  "," ")&amp;CHAR(10)&amp;"💰 "&amp;IFERROR(IF(Hoja1!D9="","",IF(MOD(Hoja1!D9,1)=0,DOLLAR(Hoja1!D9,0),DOLLAR(Hoja1!D9,2))),"")&amp;CHAR(10)&amp;CHAR(10)&amp;"📏 "&amp;SUBSTITUTE(TRIM(Hoja1!A10),"  "," ")&amp;CHAR(10)&amp;"💰 "&amp;IFERROR(IF(Hoja1!D10="","",IF(MOD(Hoja1!D10,1)=0,DOLLAR(Hoja1!D10,0),DOLLAR(Hoja1!D10,2))),"")</f>
        <v>🌱 ABEDUL ( BETULA ALBA)
📏 120-150 cm de altura E, 10 lts
💰 $ 39.072
📏 180-210 cm de altura E. 20 lts
💰 $ 109.890</v>
      </c>
    </row>
    <row r="6" spans="1:2" ht="120" customHeight="1" x14ac:dyDescent="0.25">
      <c r="A6" s="32" t="s">
        <v>610</v>
      </c>
      <c r="B6" s="32" t="str">
        <f>"🌱 ABELIA GRANDIFLORA"&amp;CHAR(10)&amp;""&amp;CHAR(10)&amp;""&amp;"🌱 "&amp;SUBSTITUTE(TRIM(Hoja1!A12),"  "," ")&amp;CHAR(10)&amp;"💰 "&amp;IFERROR(IF(Hoja1!D12="","",IF(MOD(Hoja1!D12,1)=0,DOLLAR(Hoja1!D12,0),DOLLAR(Hoja1!D12,2))),"")&amp;CHAR(10)&amp;CHAR(10)&amp;"🌱 "&amp;SUBSTITUTE(TRIM(Hoja1!A13),"  "," ")&amp;CHAR(10)&amp;"💰 "&amp;IFERROR(IF(Hoja1!D13="","",IF(MOD(Hoja1!D13,1)=0,DOLLAR(Hoja1!D13,0),DOLLAR(Hoja1!D13,2))),"")&amp;CHAR(10)&amp;CHAR(10)&amp;"🌱 "&amp;SUBSTITUTE(TRIM(Hoja1!A14),"  "," ")&amp;CHAR(10)&amp;"💰 "&amp;IFERROR(IF(Hoja1!D14="","",IF(MOD(Hoja1!D14,1)=0,DOLLAR(Hoja1!D14,0),DOLLAR(Hoja1!D14,2))),"")&amp;IF(Hoja1!E14="","", " — "&amp;TRIM(Hoja1!E14))&amp;CHAR(10)&amp;CHAR(10)&amp;"🌱 "&amp;SUBSTITUTE(TRIM(Hoja1!A15),"  "," ")&amp;CHAR(10)&amp;"💰 "&amp;IFERROR(IF(Hoja1!D15="","",IF(MOD(Hoja1!D15,1)=0,DOLLAR(Hoja1!D15,0),DOLLAR(Hoja1!D15,2))),"")</f>
        <v>🌱 ABELIA GRANDIFLORA
🌱 E. 4 lts
💰 $ 12.232
🌱 E. 10 lts
💰 $ 27.000
🌱 E. 15 lts
💰 $ 36.500 — s/stock
🌱 E. 20 lts
💰 $ 49.000</v>
      </c>
    </row>
    <row r="7" spans="1:2" ht="120" customHeight="1" x14ac:dyDescent="0.25">
      <c r="A7" s="32" t="s">
        <v>611</v>
      </c>
      <c r="B7" s="32" t="str">
        <f>"🌱 ABELIA GRANDIFLORA COMPACTA (ENANA)"&amp;CHAR(10)&amp;""&amp;CHAR(10)&amp;""&amp;"🌱 "&amp;SUBSTITUTE(TRIM(Hoja1!A17),"  "," ")&amp;CHAR(10)&amp;"💰 "&amp;IFERROR(IF(Hoja1!D17="","",IF(MOD(Hoja1!D17,1)=0,DOLLAR(Hoja1!D17,0),DOLLAR(Hoja1!D17,2))),"")&amp;CHAR(10)&amp;CHAR(10)&amp;"🌱 "&amp;SUBSTITUTE(TRIM(Hoja1!A18),"  "," ")&amp;CHAR(10)&amp;"💰 "&amp;IFERROR(IF(Hoja1!D18="","",IF(MOD(Hoja1!D18,1)=0,DOLLAR(Hoja1!D18,0),DOLLAR(Hoja1!D18,2))),"")&amp;IF(Hoja1!E18="","", " — "&amp;TRIM(Hoja1!E18))</f>
        <v>🌱 ABELIA GRANDIFLORA COMPACTA (ENANA)
🌱 E. 4 lts
💰 $ 12.232
🌱 E. 10 lts
💰 $ 27.000 — s/stock</v>
      </c>
    </row>
    <row r="8" spans="1:2" ht="120" customHeight="1" x14ac:dyDescent="0.25">
      <c r="A8" s="32" t="s">
        <v>612</v>
      </c>
      <c r="B8" s="32" t="str">
        <f>"🌱 ACACIA BAYLEYANA RUBRA. INJ"&amp;CHAR(10)&amp;""&amp;CHAR(10)&amp;""&amp;"📏 "&amp;SUBSTITUTE(TRIM(Hoja1!A20),"  "," ")&amp;CHAR(10)&amp;"💰 "&amp;IFERROR(IF(Hoja1!D20="","",IF(MOD(Hoja1!D20,1)=0,DOLLAR(Hoja1!D20,0),DOLLAR(Hoja1!D20,2))),"")&amp;IF(Hoja1!E20="","", " — "&amp;TRIM(Hoja1!E20))&amp;CHAR(10)&amp;CHAR(10)&amp;"📏 "&amp;SUBSTITUTE(TRIM(Hoja1!A21),"  "," ")&amp;CHAR(10)&amp;"💰 "&amp;IFERROR(IF(Hoja1!D21="","",IF(MOD(Hoja1!D21,1)=0,DOLLAR(Hoja1!D21,0),DOLLAR(Hoja1!D21,2))),"")&amp;IF(Hoja1!E21="","", " — "&amp;TRIM(Hoja1!E21))</f>
        <v>🌱 ACACIA BAYLEYANA RUBRA. INJ
📏 Injertada 80 cm de altura E. 4 lts
💰 $ 53.724 — s/stock
📏 Inj. 120-150 cm. E. 4 lts
💰 $ 58.608 — s/stock</v>
      </c>
    </row>
    <row r="9" spans="1:2" ht="120" customHeight="1" x14ac:dyDescent="0.25">
      <c r="A9" s="32" t="s">
        <v>613</v>
      </c>
      <c r="B9" s="32" t="str">
        <f>"🌱 ACACIA BLANCA (ROBINIA PSEUDOACICIA)"&amp;CHAR(10)&amp;""&amp;CHAR(10)&amp;""&amp;"📏 "&amp;SUBSTITUTE(TRIM(Hoja1!A23),"  "," ")&amp;CHAR(10)&amp;"💰 "&amp;IFERROR(IF(Hoja1!D23="","",IF(MOD(Hoja1!D23,1)=0,DOLLAR(Hoja1!D23,0),DOLLAR(Hoja1!D23,2))),"")&amp;IF(Hoja1!E23="","", " — "&amp;TRIM(Hoja1!E23))&amp;CHAR(10)&amp;CHAR(10)&amp;"📏 "&amp;SUBSTITUTE(TRIM(Hoja1!A24),"  "," ")&amp;CHAR(10)&amp;"💰 "&amp;IFERROR(IF(Hoja1!D24="","",IF(MOD(Hoja1!D24,1)=0,DOLLAR(Hoja1!D24,0),DOLLAR(Hoja1!D24,2))),"")&amp;CHAR(10)&amp;CHAR(10)&amp;"📏 "&amp;SUBSTITUTE(TRIM(Hoja1!A25),"  "," ")&amp;CHAR(10)&amp;"💰 "&amp;IFERROR(IF(Hoja1!D25="","",IF(MOD(Hoja1!D25,1)=0,DOLLAR(Hoja1!D25,0),DOLLAR(Hoja1!D25,2))),"")</f>
        <v>🌱 ACACIA BLANCA (ROBINIA PSEUDOACICIA)
📏 150-180 cm. E. 4 lts
💰 $ 36.630 — s/stock
📏 180-210cm E. 10 lts
💰 $ 61.050
📏 220-250cm E.. 15lts
💰 $ 79.365</v>
      </c>
    </row>
    <row r="10" spans="1:2" ht="120" customHeight="1" x14ac:dyDescent="0.25">
      <c r="A10" s="32" t="s">
        <v>614</v>
      </c>
      <c r="B10" s="32" t="str">
        <f>"🌱 ACACIA BOLA (ROBINIA PSEUDOACACIA UMBRACUCULIFERA). INJ"&amp;CHAR(10)&amp;""&amp;CHAR(10)&amp;""&amp;"📏 "&amp;SUBSTITUTE(TRIM(Hoja1!A27),"  "," ")&amp;CHAR(10)&amp;"💰 "&amp;IFERROR(IF(Hoja1!D27="","",IF(MOD(Hoja1!D27,1)=0,DOLLAR(Hoja1!D27,0),DOLLAR(Hoja1!D27,2))),"")&amp;IF(Hoja1!E27="","", " — "&amp;TRIM(Hoja1!E27))&amp;CHAR(10)&amp;CHAR(10)&amp;"📏 "&amp;SUBSTITUTE(TRIM(Hoja1!A28),"  "," ")&amp;CHAR(10)&amp;"💰 "&amp;IFERROR(IF(Hoja1!D28="","",IF(MOD(Hoja1!D28,1)=0,DOLLAR(Hoja1!D28,0),DOLLAR(Hoja1!D28,2))),"")&amp;CHAR(10)&amp;CHAR(10)&amp;"📏 "&amp;SUBSTITUTE(TRIM(Hoja1!A29),"  "," ")&amp;CHAR(10)&amp;"💰 "&amp;IFERROR(IF(Hoja1!D29="","",IF(MOD(Hoja1!D29,1)=0,DOLLAR(Hoja1!D29,0),DOLLAR(Hoja1!D29,2))),"")</f>
        <v>🌱 ACACIA BOLA (ROBINIA PSEUDOACACIA UMBRACUCULIFERA). INJ
📏 Inj. A 200 cm de altura, Con copa, 6-8 cm circunsferencia de tronco. E. 10 lts.
💰 $ 58.608 — s/stock
📏 Inj, a 200 cm. Con copa, 8-10 cm E. 15 lts.
💰 $ 67.155
📏 inj a 200cm con copa, 10-12cm circunsf. 20lts
💰 $ 85.470</v>
      </c>
    </row>
    <row r="11" spans="1:2" ht="120" customHeight="1" x14ac:dyDescent="0.25">
      <c r="A11" s="32" t="s">
        <v>615</v>
      </c>
      <c r="B11" s="32" t="str">
        <f>"🌱 ACACIA CASQUE ROUGE (ROBINIA PSEUDOACACIA). INJ"&amp;CHAR(10)&amp;""&amp;CHAR(10)&amp;""&amp;"📏 "&amp;SUBSTITUTE(TRIM(Hoja1!A31),"  "," ")&amp;CHAR(10)&amp;"💰 "&amp;IFERROR(IF(Hoja1!D31="","",IF(MOD(Hoja1!D31,1)=0,DOLLAR(Hoja1!D31,0),DOLLAR(Hoja1!D31,2))),"")&amp;CHAR(10)&amp;CHAR(10)&amp;"📏 "&amp;SUBSTITUTE(TRIM(Hoja1!A32),"  "," ")&amp;CHAR(10)&amp;"💰 "&amp;IFERROR(IF(Hoja1!D32="","",IF(MOD(Hoja1!D32,1)=0,DOLLAR(Hoja1!D32,0),DOLLAR(Hoja1!D32,2))),"")</f>
        <v>🌱 ACACIA CASQUE ROUGE (ROBINIA PSEUDOACACIA). INJ
📏 Inj. 200cm de altura Con copa, 8-10 cm de circunsferencia de tronco. E. 15 lts.
💰 $ 67.155
📏 Inj. Con copa, 10-12 cm E. 20 lts.
💰 $ 78.144</v>
      </c>
    </row>
    <row r="12" spans="1:2" ht="120" customHeight="1" x14ac:dyDescent="0.25">
      <c r="A12" s="32" t="s">
        <v>616</v>
      </c>
      <c r="B12" s="32" t="str">
        <f>"🌱 ACACIA CONSTANTINOPLA (ALBIZZIA JULIBRISSIN)"&amp;CHAR(10)&amp;""&amp;CHAR(10)&amp;""&amp;"📏 "&amp;SUBSTITUTE(TRIM(Hoja1!A34),"  "," ")&amp;CHAR(10)&amp;"💰 "&amp;IFERROR(IF(Hoja1!D34="","",IF(MOD(Hoja1!D34,1)=0,DOLLAR(Hoja1!D34,0),DOLLAR(Hoja1!D34,2))),"")&amp;CHAR(10)&amp;CHAR(10)&amp;"📏 "&amp;SUBSTITUTE(TRIM(Hoja1!A35),"  "," ")&amp;CHAR(10)&amp;"💰 "&amp;IFERROR(IF(Hoja1!D35="","",IF(MOD(Hoja1!D35,1)=0,DOLLAR(Hoja1!D35,0),DOLLAR(Hoja1!D35,2))),"")</f>
        <v>🌱 ACACIA CONSTANTINOPLA (ALBIZZIA JULIBRISSIN)
📏 con copa, 6-8 cm de circunsferencia de tronco. 180-210 cm de altura E. 15 lts
💰 $ 67.155
📏 con copa, 8-10 cm. 210-250 cm E. 20 lts
💰 $ 78.144</v>
      </c>
    </row>
    <row r="13" spans="1:2" ht="120" customHeight="1" x14ac:dyDescent="0.25">
      <c r="A13" s="32" t="s">
        <v>617</v>
      </c>
      <c r="B13" s="32" t="str">
        <f>"🌱 ACACIA DEALBATA (AROMO FRANCES)"&amp;CHAR(10)&amp;""&amp;CHAR(10)&amp;""&amp;"📏 "&amp;SUBSTITUTE(TRIM(Hoja1!A37),"  "," ")&amp;CHAR(10)&amp;"💰 "&amp;IFERROR(IF(Hoja1!D37="","",IF(MOD(Hoja1!D37,1)=0,DOLLAR(Hoja1!D37,0),DOLLAR(Hoja1!D37,2))),"")&amp;CHAR(10)&amp;CHAR(10)&amp;"📏 "&amp;SUBSTITUTE(TRIM(Hoja1!A38),"  "," ")&amp;CHAR(10)&amp;"💰 "&amp;IFERROR(IF(Hoja1!D38="","",IF(MOD(Hoja1!D38,1)=0,DOLLAR(Hoja1!D38,0),DOLLAR(Hoja1!D38,2))),"")</f>
        <v>🌱 ACACIA DEALBATA (AROMO FRANCES)
📏 con copa, 210-250 cm. E. 10 lts
💰 $ 42.000
📏 con copa, 250 cm. E. 20 lts
💰 $ 78.144</v>
      </c>
    </row>
    <row r="14" spans="1:2" ht="120" customHeight="1" x14ac:dyDescent="0.25">
      <c r="A14" s="32" t="s">
        <v>34</v>
      </c>
      <c r="B14" s="32" t="str">
        <f>"🌱 ACACIA CAVEN (VACHELLIA CAVEN) ESPINILLO"&amp;CHAR(10)&amp;""&amp;CHAR(10)&amp;""&amp;"📏 "&amp;SUBSTITUTE(TRIM(Hoja1!A40),"  "," ")&amp;CHAR(10)&amp;"💰 "&amp;IFERROR(IF(Hoja1!D40="","",IF(MOD(Hoja1!D40,1)=0,DOLLAR(Hoja1!D40,0),DOLLAR(Hoja1!D40,2))),"")&amp;IF(Hoja1!E40="","", " — "&amp;TRIM(Hoja1!E40))&amp;CHAR(10)&amp;CHAR(10)&amp;"📏 "&amp;SUBSTITUTE(TRIM(Hoja1!A41),"  "," ")&amp;CHAR(10)&amp;"💰 "&amp;IFERROR(IF(Hoja1!D41="","",IF(MOD(Hoja1!D41,1)=0,DOLLAR(Hoja1!D41,0),DOLLAR(Hoja1!D41,2))),"")</f>
        <v>🌱 ACACIA CAVEN (VACHELLIA CAVEN) ESPINILLO
📏 120-150cm E. 4lts
💰 $ 28.083 — s/stock
📏 150-180cm E. 10lts
💰 $ 40.000</v>
      </c>
    </row>
    <row r="15" spans="1:2" ht="120" customHeight="1" x14ac:dyDescent="0.25">
      <c r="A15" s="32" t="s">
        <v>618</v>
      </c>
      <c r="B15" s="32" t="str">
        <f>"🌱 ACACIA FLORIBUNDA"&amp;CHAR(10)&amp;""&amp;CHAR(10)&amp;""&amp;"📏 "&amp;SUBSTITUTE(TRIM(Hoja1!A43),"  "," ")&amp;CHAR(10)&amp;"💰 "&amp;IFERROR(IF(Hoja1!D43="","",IF(MOD(Hoja1!D43,1)=0,DOLLAR(Hoja1!D43,0),DOLLAR(Hoja1!D43,2))),"")&amp;CHAR(10)&amp;CHAR(10)&amp;"📏 "&amp;SUBSTITUTE(TRIM(Hoja1!A44),"  "," ")&amp;CHAR(10)&amp;"💰 "&amp;IFERROR(IF(Hoja1!D44="","",IF(MOD(Hoja1!D44,1)=0,DOLLAR(Hoja1!D44,0),DOLLAR(Hoja1!D44,2))),"")&amp;IF(Hoja1!E44="","", " — "&amp;TRIM(Hoja1!E44))</f>
        <v>🌱 ACACIA FLORIBUNDA
📏 150-180 cm. E. 4 lts
💰 $ 28.083
📏 180-210cm. .. E. 10lts
💰 $ 58.608 — s/stock</v>
      </c>
    </row>
    <row r="16" spans="1:2" ht="120" customHeight="1" x14ac:dyDescent="0.25">
      <c r="A16" s="32" t="s">
        <v>619</v>
      </c>
      <c r="B16" s="32" t="str">
        <f>"🌱 ACACIA FRISIA (ROBINIA PSEUDOACACIA AUREA). INJ"&amp;CHAR(10)&amp;""&amp;CHAR(10)&amp;""&amp;"📏 "&amp;SUBSTITUTE(TRIM(Hoja1!A46),"  "," ")&amp;CHAR(10)&amp;"💰 "&amp;IFERROR(IF(Hoja1!D46="","",IF(MOD(Hoja1!D46,1)=0,DOLLAR(Hoja1!D46,0),DOLLAR(Hoja1!D46,2))),"")&amp;IF(Hoja1!E46="","", " — "&amp;TRIM(Hoja1!E46))&amp;CHAR(10)&amp;CHAR(10)&amp;"📏 "&amp;SUBSTITUTE(TRIM(Hoja1!A47),"  "," ")&amp;CHAR(10)&amp;"💰 "&amp;IFERROR(IF(Hoja1!D47="","",IF(MOD(Hoja1!D47,1)=0,DOLLAR(Hoja1!D47,0),DOLLAR(Hoja1!D47,2))),"")&amp;IF(Hoja1!E47="","", " — "&amp;TRIM(Hoja1!E47))&amp;CHAR(10)&amp;CHAR(10)&amp;"📏 "&amp;SUBSTITUTE(TRIM(Hoja1!A48),"  "," ")&amp;CHAR(10)&amp;"💰 "&amp;IFERROR(IF(Hoja1!D48="","",IF(MOD(Hoja1!D48,1)=0,DOLLAR(Hoja1!D48,0),DOLLAR(Hoja1!D48,2))),"")</f>
        <v>🌱 ACACIA FRISIA (ROBINIA PSEUDOACACIA AUREA). INJ
📏 Injertado. Con copa, 6-8 cm circunsferencia de tronco. E. 10 lts.
💰 $ 58.608 — s/stock
📏 Inj. Con copa, 8-10 cm E. 15 lts.
💰 $ 67.155 — 
📏 inj. Con copa 10-12cm
💰 $ 85.470</v>
      </c>
    </row>
    <row r="17" spans="1:2" ht="120" customHeight="1" x14ac:dyDescent="0.25">
      <c r="A17" s="32" t="s">
        <v>44</v>
      </c>
      <c r="B17" s="32" t="str">
        <f>"🌱 ACACIA LEUCANTE"&amp;CHAR(10)&amp;""&amp;CHAR(10)&amp;""&amp;"📏 "&amp;SUBSTITUTE(TRIM(Hoja1!A50),"  "," ")&amp;CHAR(10)&amp;"💰 "&amp;IFERROR(IF(Hoja1!D50="","",IF(MOD(Hoja1!D50,1)=0,DOLLAR(Hoja1!D50,0),DOLLAR(Hoja1!D50,2))),"")&amp;IF(Hoja1!E50="","", " — "&amp;TRIM(Hoja1!E50))&amp;CHAR(10)&amp;CHAR(10)&amp;"📏 "&amp;SUBSTITUTE(TRIM(Hoja1!A51),"  "," ")&amp;CHAR(10)&amp;"💰 "&amp;IFERROR(IF(Hoja1!D51="","",IF(MOD(Hoja1!D51,1)=0,DOLLAR(Hoja1!D51,0),DOLLAR(Hoja1!D51,2))),"")&amp;IF(Hoja1!E51="","", " — "&amp;TRIM(Hoja1!E51))</f>
        <v>🌱 ACACIA LEUCANTE
📏 150-180cm E. 4lts
💰 $ 28.083 — s/stock
📏 180-210cm E. 10lts
💰 $ 58.608 — s/stock</v>
      </c>
    </row>
    <row r="18" spans="1:2" ht="120" customHeight="1" x14ac:dyDescent="0.25">
      <c r="A18" s="32" t="s">
        <v>47</v>
      </c>
      <c r="B18" s="32" t="str">
        <f>"🌱 ACACIA LONGIFOLIA"&amp;CHAR(10)&amp;""&amp;CHAR(10)&amp;""&amp;"📏 "&amp;SUBSTITUTE(TRIM(Hoja1!A53),"  "," ")&amp;CHAR(10)&amp;"💰 "&amp;IFERROR(IF(Hoja1!D53="","",IF(MOD(Hoja1!D53,1)=0,DOLLAR(Hoja1!D53,0),DOLLAR(Hoja1!D53,2))),"")&amp;IF(Hoja1!E53="","", " — "&amp;TRIM(Hoja1!E53))&amp;CHAR(10)&amp;CHAR(10)&amp;"📏 "&amp;SUBSTITUTE(TRIM(Hoja1!A54),"  "," ")&amp;CHAR(10)&amp;"💰 "&amp;IFERROR(IF(Hoja1!D54="","",IF(MOD(Hoja1!D54,1)=0,DOLLAR(Hoja1!D54,0),DOLLAR(Hoja1!D54,2))),"")&amp;CHAR(10)&amp;CHAR(10)&amp;"📏 "&amp;SUBSTITUTE(TRIM(Hoja1!A55),"  "," ")&amp;CHAR(10)&amp;"💰 "&amp;IFERROR(IF(Hoja1!D55="","",IF(MOD(Hoja1!D55,1)=0,DOLLAR(Hoja1!D55,0),DOLLAR(Hoja1!D55,2))),"")&amp;CHAR(10)&amp;CHAR(10)&amp;"📏 "&amp;SUBSTITUTE(TRIM(Hoja1!A56),"  "," ")&amp;CHAR(10)&amp;"💰 "&amp;IFERROR(IF(Hoja1!D56="","",IF(MOD(Hoja1!D56,1)=0,DOLLAR(Hoja1!D56,0),DOLLAR(Hoja1!D56,2))),"")</f>
        <v>🌱 ACACIA LONGIFOLIA
📏 E. 4lts 150-180cm
💰 $ 28.083 — s/stock
📏 E. 4lts 180-210cm
💰 $ 35.409
📏 E. 10lts 210-250cm
💰 $ 58.608
📏 E. 20lts 250-300cm
💰 $ 79.365</v>
      </c>
    </row>
    <row r="19" spans="1:2" ht="120" customHeight="1" x14ac:dyDescent="0.25">
      <c r="A19" s="32" t="s">
        <v>620</v>
      </c>
      <c r="B19" s="32" t="str">
        <f>"🌱 ACACIA MELANOXYLON (A. AUSTRALIANA)"&amp;CHAR(10)&amp;""&amp;CHAR(10)&amp;""&amp;"📏 "&amp;SUBSTITUTE(TRIM(Hoja1!A58),"  "," ")&amp;CHAR(10)&amp;"💰 "&amp;IFERROR(IF(Hoja1!D58="","",IF(MOD(Hoja1!D58,1)=0,DOLLAR(Hoja1!D58,0),DOLLAR(Hoja1!D58,2))),"")&amp;CHAR(10)&amp;CHAR(10)&amp;"📏 "&amp;SUBSTITUTE(TRIM(Hoja1!A59),"  "," ")&amp;CHAR(10)&amp;"💰 "&amp;IFERROR(IF(Hoja1!D59="","",IF(MOD(Hoja1!D59,1)=0,DOLLAR(Hoja1!D59,0),DOLLAR(Hoja1!D59,2))),"")&amp;CHAR(10)&amp;CHAR(10)&amp;"📏 "&amp;SUBSTITUTE(TRIM(Hoja1!A60),"  "," ")&amp;CHAR(10)&amp;"💰 "&amp;IFERROR(IF(Hoja1!D60="","",IF(MOD(Hoja1!D60,1)=0,DOLLAR(Hoja1!D60,0),DOLLAR(Hoja1!D60,2))),"")&amp;CHAR(10)&amp;CHAR(10)&amp;"📏 "&amp;SUBSTITUTE(TRIM(Hoja1!A61),"  "," ")&amp;CHAR(10)&amp;"💰 "&amp;IFERROR(IF(Hoja1!D61="","",IF(MOD(Hoja1!D61,1)=0,DOLLAR(Hoja1!D61,0),DOLLAR(Hoja1!D61,2))),"")</f>
        <v>🌱 ACACIA MELANOXYLON (A. AUSTRALIANA)
📏 150-180 cm de altura. E. 4 lts
💰 $ 28.083
📏 180-210 cm. E. 4 lts
💰 $ 35.409
📏 210-250 cm E10 lts
💰 $ 58.608
📏 250-300cm E 20lts
💰 $ 78.144</v>
      </c>
    </row>
    <row r="20" spans="1:2" ht="120" customHeight="1" x14ac:dyDescent="0.25">
      <c r="A20" s="32" t="s">
        <v>621</v>
      </c>
      <c r="B20" s="32" t="str">
        <f>"🌱 ACACIA VISCO"&amp;CHAR(10)&amp;""&amp;CHAR(10)&amp;""&amp;"📏 "&amp;SUBSTITUTE(TRIM(Hoja1!A63),"  "," ")&amp;CHAR(10)&amp;"💰 "&amp;IFERROR(IF(Hoja1!D63="","",IF(MOD(Hoja1!D63,1)=0,DOLLAR(Hoja1!D63,0),DOLLAR(Hoja1!D63,2))),"")&amp;CHAR(10)&amp;CHAR(10)&amp;"📏 "&amp;SUBSTITUTE(TRIM(Hoja1!A64),"  "," ")&amp;CHAR(10)&amp;"💰 "&amp;IFERROR(IF(Hoja1!D64="","",IF(MOD(Hoja1!D64,1)=0,DOLLAR(Hoja1!D64,0),DOLLAR(Hoja1!D64,2))),"")</f>
        <v>🌱 ACACIA VISCO
📏 150-180 cm de altura E. 4 lts
💰 $ 28.083
📏 180-210 cm. E 10 lts.
💰 $ 58.608</v>
      </c>
    </row>
    <row r="21" spans="1:2" ht="120" customHeight="1" x14ac:dyDescent="0.25">
      <c r="A21" s="32" t="s">
        <v>622</v>
      </c>
      <c r="B21" s="32" t="str">
        <f>"🌱 ACANTHUS MOLLIS (CUCARACHA)"&amp;CHAR(10)&amp;""&amp;CHAR(10)&amp;""&amp;"🌱 "&amp;SUBSTITUTE(TRIM(Hoja1!A66),"  "," ")&amp;CHAR(10)&amp;"💰 "&amp;IFERROR(IF(Hoja1!D66="","",IF(MOD(Hoja1!D66,1)=0,DOLLAR(Hoja1!D66,0),DOLLAR(Hoja1!D66,2))),"")&amp;IF(Hoja1!E66="","", " — "&amp;TRIM(Hoja1!E66))</f>
        <v>🌱 ACANTHUS MOLLIS (CUCARACHA)
🌱 E. 4lts
💰 $ 17.094 — s/stock</v>
      </c>
    </row>
    <row r="22" spans="1:2" ht="120" customHeight="1" x14ac:dyDescent="0.25">
      <c r="A22" s="32" t="s">
        <v>623</v>
      </c>
      <c r="B22" s="32" t="str">
        <f>"🌱 ACER BUERGERIANUS"&amp;CHAR(10)&amp;""&amp;CHAR(10)&amp;""&amp;"📏 "&amp;SUBSTITUTE(TRIM(Hoja1!A68),"  "," ")&amp;CHAR(10)&amp;"💰 "&amp;IFERROR(IF(Hoja1!D68="","",IF(MOD(Hoja1!D68,1)=0,DOLLAR(Hoja1!D68,0),DOLLAR(Hoja1!D68,2))),"")&amp;CHAR(10)&amp;CHAR(10)&amp;"📏 "&amp;SUBSTITUTE(TRIM(Hoja1!A69),"  "," ")&amp;CHAR(10)&amp;"💰 "&amp;IFERROR(IF(Hoja1!D69="","",IF(MOD(Hoja1!D69,1)=0,DOLLAR(Hoja1!D69,0),DOLLAR(Hoja1!D69,2))),"")&amp;IF(Hoja1!E69="","", " — "&amp;TRIM(Hoja1!E69))</f>
        <v xml:space="preserve">🌱 ACER BUERGERIANUS
📏 con copa 4-6 cm. 210-250 cm. E. 10 lts.
💰 $ 67.155
📏 con copa 8-10 cm. 210-250 cm. E. 20 lts
💰 $ 99.000 — </v>
      </c>
    </row>
    <row r="23" spans="1:2" ht="120" customHeight="1" x14ac:dyDescent="0.25">
      <c r="A23" s="32" t="s">
        <v>624</v>
      </c>
      <c r="B23" s="32" t="str">
        <f>"🌱 ACER NENGUNDO"&amp;CHAR(10)&amp;""&amp;CHAR(10)&amp;""&amp;"📏 "&amp;SUBSTITUTE(TRIM(Hoja1!A71),"  "," ")&amp;CHAR(10)&amp;"💰 "&amp;IFERROR(IF(Hoja1!D71="","",IF(MOD(Hoja1!D71,1)=0,DOLLAR(Hoja1!D71,0),DOLLAR(Hoja1!D71,2))),"")&amp;CHAR(10)&amp;CHAR(10)&amp;"📏 "&amp;SUBSTITUTE(TRIM(Hoja1!A72),"  "," ")&amp;CHAR(10)&amp;"💰 "&amp;IFERROR(IF(Hoja1!D72="","",IF(MOD(Hoja1!D72,1)=0,DOLLAR(Hoja1!D72,0),DOLLAR(Hoja1!D72,2))),"")</f>
        <v>🌱 ACER NENGUNDO
📏 con copa 4-6cm circunsf. 180-210cm E10lts
💰 $ 58.608
📏 con copa 6-8cm circunsf. 210-250cm E 15lts
💰 $ 67.155</v>
      </c>
    </row>
    <row r="24" spans="1:2" ht="120" customHeight="1" x14ac:dyDescent="0.25">
      <c r="A24" s="32" t="s">
        <v>625</v>
      </c>
      <c r="B24" s="32" t="str">
        <f>"🌱 ACER PALMATUM"&amp;CHAR(10)&amp;""&amp;CHAR(10)&amp;""&amp;"📏 "&amp;SUBSTITUTE(TRIM(Hoja1!A74),"  "," ")&amp;CHAR(10)&amp;"💰 "&amp;IFERROR(IF(Hoja1!D74="","",IF(MOD(Hoja1!D74,1)=0,DOLLAR(Hoja1!D74,0),DOLLAR(Hoja1!D74,2))),"")&amp;CHAR(10)&amp;CHAR(10)&amp;"📏 "&amp;SUBSTITUTE(TRIM(Hoja1!A75),"  "," ")&amp;CHAR(10)&amp;"💰 "&amp;IFERROR(IF(Hoja1!D75="","",IF(MOD(Hoja1!D75,1)=0,DOLLAR(Hoja1!D75,0),DOLLAR(Hoja1!D75,2))),"")</f>
        <v>🌱 ACER PALMATUM
📏 E. 4 lts 40cm
💰 $ 37.018,50
📏 E. 10lts 80cm
💰 $ 50.000</v>
      </c>
    </row>
    <row r="25" spans="1:2" ht="120" customHeight="1" x14ac:dyDescent="0.25">
      <c r="A25" s="32" t="s">
        <v>626</v>
      </c>
      <c r="B25" s="32" t="str">
        <f>"🌱 ACER SACCHARINUM"&amp;CHAR(10)&amp;""&amp;CHAR(10)&amp;""&amp;"📏 "&amp;SUBSTITUTE(TRIM(Hoja1!A77),"  "," ")&amp;CHAR(10)&amp;"💰 "&amp;IFERROR(IF(Hoja1!D77="","",IF(MOD(Hoja1!D77,1)=0,DOLLAR(Hoja1!D77,0),DOLLAR(Hoja1!D77,2))),"")&amp;IF(Hoja1!E77="","", " — "&amp;TRIM(Hoja1!E77))</f>
        <v>🌱 ACER SACCHARINUM
📏 120-150cm x 4lts
💰 $ 28.083 — s/stock</v>
      </c>
    </row>
    <row r="26" spans="1:2" ht="120" customHeight="1" x14ac:dyDescent="0.25">
      <c r="A26" s="32" t="s">
        <v>627</v>
      </c>
      <c r="B26" s="32" t="str">
        <f>"🌱 ACORUS LEMON"&amp;CHAR(10)&amp;""&amp;CHAR(10)&amp;""&amp;"🌱 "&amp;SUBSTITUTE(TRIM(Hoja1!A79),"  "," ")&amp;CHAR(10)&amp;"💰 "&amp;IFERROR(IF(Hoja1!D79="","",IF(MOD(Hoja1!D79,1)=0,DOLLAR(Hoja1!D79,0),DOLLAR(Hoja1!D79,2))),"")</f>
        <v>🌱 ACORUS LEMON
🌱 4lts
💰 $ 8.900</v>
      </c>
    </row>
    <row r="27" spans="1:2" ht="120" customHeight="1" x14ac:dyDescent="0.25">
      <c r="A27" s="32" t="s">
        <v>628</v>
      </c>
      <c r="B27" s="32" t="str">
        <f>"🌱 ACLEPSIAS"&amp;CHAR(10)&amp;""&amp;CHAR(10)&amp;""&amp;"📏 "&amp;SUBSTITUTE(TRIM(Hoja1!A81),"  "," ")&amp;CHAR(10)&amp;"💰 "&amp;IFERROR(IF(Hoja1!D81="","",IF(MOD(Hoja1!D81,1)=0,DOLLAR(Hoja1!D81,0),DOLLAR(Hoja1!D81,2))),"")&amp;CHAR(10)&amp;CHAR(10)&amp;"🌱 "&amp;SUBSTITUTE(TRIM(Hoja1!A82),"  "," ")&amp;CHAR(10)&amp;"💰 "&amp;IFERROR(IF(Hoja1!D82="","",IF(MOD(Hoja1!D82,1)=0,DOLLAR(Hoja1!D82,0),DOLLAR(Hoja1!D82,2))),"")</f>
        <v>🌱 ACLEPSIAS
📏 E. 4lts 30cm
💰 $ 8.900
🌱 oferta comprando 10 unidades
💰 $ 8.500</v>
      </c>
    </row>
    <row r="28" spans="1:2" ht="120" customHeight="1" x14ac:dyDescent="0.25">
      <c r="A28" s="32" t="s">
        <v>629</v>
      </c>
      <c r="B28" s="32" t="str">
        <f>"🌱 AGAPANTHUS AFRICANUS"&amp;CHAR(10)&amp;""&amp;CHAR(10)&amp;""&amp;"🌱 "&amp;SUBSTITUTE(TRIM(Hoja1!A84),"  "," ")&amp;CHAR(10)&amp;"💰 "&amp;IFERROR(IF(Hoja1!D84="","",IF(MOD(Hoja1!D84,1)=0,DOLLAR(Hoja1!D84,0),DOLLAR(Hoja1!D84,2))),"")&amp;CHAR(10)&amp;CHAR(10)&amp;"🌱 "&amp;SUBSTITUTE(TRIM(Hoja1!A85),"  "," ")&amp;CHAR(10)&amp;"💰 "&amp;IFERROR(IF(Hoja1!D85="","",IF(MOD(Hoja1!D85,1)=0,DOLLAR(Hoja1!D85,0),DOLLAR(Hoja1!D85,2))),"")&amp;CHAR(10)&amp;CHAR(10)&amp;"🌱 "&amp;SUBSTITUTE(TRIM(Hoja1!A86),"  "," ")&amp;CHAR(10)&amp;"💰 "&amp;IFERROR(IF(Hoja1!D86="","",IF(MOD(Hoja1!D86,1)=0,DOLLAR(Hoja1!D86,0),DOLLAR(Hoja1!D86,2))),"")</f>
        <v>🌱 AGAPANTHUS AFRICANUS
🌱 flor azul, E. 4 lts
💰 $ 8.900
🌱 oferta comprando 10 unidades
💰 $ 8.500
🌱 flor azul x 10lts
💰 $ 25.000</v>
      </c>
    </row>
    <row r="29" spans="1:2" ht="120" customHeight="1" x14ac:dyDescent="0.25">
      <c r="A29" s="32" t="s">
        <v>629</v>
      </c>
      <c r="B29" s="32" t="str">
        <f>"🌱 AGAPANTHUS AFRICANUS"&amp;CHAR(10)&amp;""&amp;CHAR(10)&amp;""&amp;"🌱 "&amp;SUBSTITUTE(TRIM(Hoja1!A88),"  "," ")&amp;CHAR(10)&amp;"💰 "&amp;IFERROR(IF(Hoja1!D88="","",IF(MOD(Hoja1!D88,1)=0,DOLLAR(Hoja1!D88,0),DOLLAR(Hoja1!D88,2))),"")&amp;IF(Hoja1!E88="","", " — "&amp;TRIM(Hoja1!E88))&amp;CHAR(10)&amp;CHAR(10)&amp;"🌱 "&amp;SUBSTITUTE(TRIM(Hoja1!A89),"  "," ")&amp;CHAR(10)&amp;"💰 "&amp;IFERROR(IF(Hoja1!D89="","",IF(MOD(Hoja1!D89,1)=0,DOLLAR(Hoja1!D89,0),DOLLAR(Hoja1!D89,2))),"")&amp;IF(Hoja1!E89="","", " — "&amp;TRIM(Hoja1!E89))</f>
        <v>🌱 AGAPANTHUS AFRICANUS
🌱 flor blanca E. 4 lts
💰 $ 12.878,78 — s/stock
🌱 flor blanca E. 10lts
💰 $ 20.909,07 — s/stock</v>
      </c>
    </row>
    <row r="30" spans="1:2" ht="120" customHeight="1" x14ac:dyDescent="0.25">
      <c r="A30" s="32" t="s">
        <v>630</v>
      </c>
      <c r="B30" s="32" t="str">
        <f>"🌱 AGUARIBAY (SCHINUS MOLLE)"&amp;CHAR(10)&amp;""&amp;CHAR(10)&amp;""&amp;"📏 "&amp;SUBSTITUTE(TRIM(Hoja1!A91),"  "," ")&amp;CHAR(10)&amp;"💰 "&amp;IFERROR(IF(Hoja1!D91="","",IF(MOD(Hoja1!D91,1)=0,DOLLAR(Hoja1!D91,0),DOLLAR(Hoja1!D91,2))),"")&amp;CHAR(10)&amp;CHAR(10)&amp;"📏 "&amp;SUBSTITUTE(TRIM(Hoja1!A92),"  "," ")&amp;CHAR(10)&amp;"💰 "&amp;IFERROR(IF(Hoja1!D92="","",IF(MOD(Hoja1!D92,1)=0,DOLLAR(Hoja1!D92,0),DOLLAR(Hoja1!D92,2))),"")&amp;CHAR(10)&amp;CHAR(10)&amp;"📏 "&amp;SUBSTITUTE(TRIM(Hoja1!A93),"  "," ")&amp;CHAR(10)&amp;"💰 "&amp;IFERROR(IF(Hoja1!D93="","",IF(MOD(Hoja1!D93,1)=0,DOLLAR(Hoja1!D93,0),DOLLAR(Hoja1!D93,2))),"")&amp;IF(Hoja1!E93="","", " — "&amp;TRIM(Hoja1!E93))</f>
        <v xml:space="preserve">🌱 AGUARIBAY (SCHINUS MOLLE)
📏 150-180 cm.
💰 $ 22.000
📏 180-210 cm.
💰 $ 37.500
📏 250-300 cm.
💰 $ 99.000 — </v>
      </c>
    </row>
    <row r="31" spans="1:2" ht="120" customHeight="1" x14ac:dyDescent="0.25">
      <c r="A31" s="32" t="s">
        <v>631</v>
      </c>
      <c r="B31" s="32" t="str">
        <f>"🌱 ALAMOS HIBRIDO (POPULUS)"&amp;CHAR(10)&amp;""&amp;CHAR(10)&amp;""&amp;"📏 "&amp;SUBSTITUTE(TRIM(Hoja1!A95),"  "," ")&amp;CHAR(10)&amp;"💰 "&amp;IFERROR(IF(Hoja1!D95="","",IF(MOD(Hoja1!D95,1)=0,DOLLAR(Hoja1!D95,0),DOLLAR(Hoja1!D95,2))),"")&amp;IF(Hoja1!E95="","", " — "&amp;TRIM(Hoja1!E95))&amp;CHAR(10)&amp;CHAR(10)&amp;"📏 "&amp;SUBSTITUTE(TRIM(Hoja1!A96),"  "," ")&amp;CHAR(10)&amp;"💰 "&amp;IFERROR(IF(Hoja1!D96="","",IF(MOD(Hoja1!D96,1)=0,DOLLAR(Hoja1!D96,0),DOLLAR(Hoja1!D96,2))),"")</f>
        <v>🌱 ALAMOS HIBRIDO (POPULUS)
📏 con copa, 6-8 cm. E. 10 lts.
💰 $ 30.525 — s/stock
📏 con copa, 10-12 cm. E. 20 lts.
💰 $ 39.072</v>
      </c>
    </row>
    <row r="32" spans="1:2" ht="120" customHeight="1" x14ac:dyDescent="0.25">
      <c r="A32" s="32" t="s">
        <v>632</v>
      </c>
      <c r="B32" s="32" t="str">
        <f>"🌱 ALAMOS PIRAMIDAL (POPULUS NIGRA)"&amp;CHAR(10)&amp;""&amp;CHAR(10)&amp;""&amp;"📏 "&amp;SUBSTITUTE(TRIM(Hoja1!A98),"  "," ")&amp;CHAR(10)&amp;"💰 "&amp;IFERROR(IF(Hoja1!D98="","",IF(MOD(Hoja1!D98,1)=0,DOLLAR(Hoja1!D98,0),DOLLAR(Hoja1!D98,2))),"")&amp;CHAR(10)&amp;CHAR(10)&amp;"📏 "&amp;SUBSTITUTE(TRIM(Hoja1!A99),"  "," ")&amp;CHAR(10)&amp;"💰 "&amp;IFERROR(IF(Hoja1!D99="","",IF(MOD(Hoja1!D99,1)=0,DOLLAR(Hoja1!D99,0),DOLLAR(Hoja1!D99,2))),"")&amp;CHAR(10)&amp;CHAR(10)&amp;"📏 "&amp;SUBSTITUTE(TRIM(Hoja1!A100),"  "," ")&amp;CHAR(10)&amp;"💰 "&amp;IFERROR(IF(Hoja1!D100="","",IF(MOD(Hoja1!D100,1)=0,DOLLAR(Hoja1!D100,0),DOLLAR(Hoja1!D100,2))),"")&amp;CHAR(10)&amp;CHAR(10)&amp;"📏 "&amp;SUBSTITUTE(TRIM(Hoja1!A101),"  "," ")&amp;CHAR(10)&amp;"💰 "&amp;IFERROR(IF(Hoja1!D101="","",IF(MOD(Hoja1!D101,1)=0,DOLLAR(Hoja1!D101,0),DOLLAR(Hoja1!D101,2))),"")</f>
        <v>🌱 ALAMOS PIRAMIDAL (POPULUS NIGRA)
📏 180-210 cm. E. 10 lts.
💰 $ 21.978
📏 210-250 cm. E. 15 lts.
💰 $ 29.304
📏 250-300 cm. E. 20 lts.
💰 $ 76.923
📏 300-350 cm. E. 30 lts.
💰 $ 120.879</v>
      </c>
    </row>
    <row r="33" spans="1:2" ht="120" customHeight="1" x14ac:dyDescent="0.25">
      <c r="A33" s="32" t="s">
        <v>95</v>
      </c>
      <c r="B33" s="32" t="str">
        <f>"🌱 ALMEZ (CELTIS OCCIDENTALIS)"&amp;CHAR(10)&amp;""&amp;CHAR(10)&amp;""&amp;"📏 "&amp;SUBSTITUTE(TRIM(Hoja1!A103),"  "," ")&amp;CHAR(10)&amp;"💰 "&amp;IFERROR(IF(Hoja1!D103="","",IF(MOD(Hoja1!D103,1)=0,DOLLAR(Hoja1!D103,0),DOLLAR(Hoja1!D103,2))),"")&amp;CHAR(10)&amp;CHAR(10)&amp;"📏 "&amp;SUBSTITUTE(TRIM(Hoja1!A104),"  "," ")&amp;CHAR(10)&amp;"💰 "&amp;IFERROR(IF(Hoja1!D104="","",IF(MOD(Hoja1!D104,1)=0,DOLLAR(Hoja1!D104,0),DOLLAR(Hoja1!D104,2))),"")</f>
        <v>🌱 ALMEZ (CELTIS OCCIDENTALIS)
📏 E. 10lts 180-210cm
💰 $ 36.630
📏 E. 15lts 180-210cm con tronco mas grueso
💰 $ 67.155</v>
      </c>
    </row>
    <row r="34" spans="1:2" ht="120" customHeight="1" x14ac:dyDescent="0.25">
      <c r="A34" s="32" t="s">
        <v>633</v>
      </c>
      <c r="B34" s="32" t="str">
        <f>"🌱 ALOCACIA TALLO NEGRO"&amp;CHAR(10)&amp;""&amp;CHAR(10)&amp;""&amp;"🌱 "&amp;SUBSTITUTE(TRIM(Hoja1!A106),"  "," ")&amp;CHAR(10)&amp;"💰 "&amp;IFERROR(IF(Hoja1!D106="","",IF(MOD(Hoja1!D106,1)=0,DOLLAR(Hoja1!D106,0),DOLLAR(Hoja1!D106,2))),"")</f>
        <v>🌱 ALOCACIA TALLO NEGRO
🌱 4 lts
💰 $ 33.333</v>
      </c>
    </row>
    <row r="35" spans="1:2" ht="120" customHeight="1" x14ac:dyDescent="0.25">
      <c r="A35" s="32" t="s">
        <v>634</v>
      </c>
      <c r="B35" s="32" t="str">
        <f>"🌱 ALPINIA"&amp;CHAR(10)&amp;""&amp;CHAR(10)&amp;""&amp;"🌱 "&amp;SUBSTITUTE(TRIM(Hoja1!A108),"  "," ")&amp;CHAR(10)&amp;"💰 "&amp;IFERROR(IF(Hoja1!D108="","",IF(MOD(Hoja1!D108,1)=0,DOLLAR(Hoja1!D108,0),DOLLAR(Hoja1!D108,2))),"")&amp;CHAR(10)&amp;CHAR(10)&amp;"🌱 "&amp;SUBSTITUTE(TRIM(Hoja1!A109),"  "," ")&amp;CHAR(10)&amp;"💰 "&amp;IFERROR(IF(Hoja1!D109="","",IF(MOD(Hoja1!D109,1)=0,DOLLAR(Hoja1!D109,0),DOLLAR(Hoja1!D109,2))),"")</f>
        <v>🌱 ALPINIA
🌱 E 4 lts
💰 $ 23.199
🌱 E. 10 lts
💰 $ 43.956</v>
      </c>
    </row>
    <row r="36" spans="1:2" ht="120" customHeight="1" x14ac:dyDescent="0.25">
      <c r="A36" s="32" t="s">
        <v>635</v>
      </c>
      <c r="B36" s="32" t="str">
        <f>"🌱 AMPELOPSIS VEITCHI"&amp;CHAR(10)&amp;""&amp;CHAR(10)&amp;""&amp;"📏 "&amp;SUBSTITUTE(TRIM(Hoja1!A111),"  "," ")&amp;CHAR(10)&amp;"💰 "&amp;IFERROR(IF(Hoja1!D111="","",IF(MOD(Hoja1!D111,1)=0,DOLLAR(Hoja1!D111,0),DOLLAR(Hoja1!D111,2))),"")</f>
        <v>🌱 AMPELOPSIS VEITCHI
📏 100-120 cm. E. 4 lts
💰 $ 10.989</v>
      </c>
    </row>
    <row r="37" spans="1:2" ht="120" customHeight="1" x14ac:dyDescent="0.25">
      <c r="A37" s="32" t="s">
        <v>105</v>
      </c>
      <c r="B37" s="32" t="str">
        <f>"🌱 ANACAHUITA"&amp;CHAR(10)&amp;""&amp;CHAR(10)&amp;""&amp;"📏 "&amp;SUBSTITUTE(TRIM(Hoja1!A113),"  "," ")&amp;CHAR(10)&amp;"💰 "&amp;IFERROR(IF(Hoja1!D113="","",IF(MOD(Hoja1!D113,1)=0,DOLLAR(Hoja1!D113,0),DOLLAR(Hoja1!D113,2))),"")&amp;CHAR(10)&amp;CHAR(10)&amp;"📏 "&amp;SUBSTITUTE(TRIM(Hoja1!A114),"  "," ")&amp;CHAR(10)&amp;"💰 "&amp;IFERROR(IF(Hoja1!D114="","",IF(MOD(Hoja1!D114,1)=0,DOLLAR(Hoja1!D114,0),DOLLAR(Hoja1!D114,2))),"")</f>
        <v>🌱 ANACAHUITA
📏 120-150cm x 10lts
💰 $ 58.608
📏 150-180cm x 15lts
💰 $ 67.155</v>
      </c>
    </row>
    <row r="38" spans="1:2" ht="120" customHeight="1" x14ac:dyDescent="0.25">
      <c r="A38" s="32" t="s">
        <v>108</v>
      </c>
      <c r="B38" s="32" t="str">
        <f>"🌱 AZARERO ENANO (PITTOSPORUM NANA)"&amp;CHAR(10)&amp;""&amp;CHAR(10)&amp;""&amp;"🌱 "&amp;SUBSTITUTE(TRIM(Hoja1!A116),"  "," ")&amp;CHAR(10)&amp;"💰 "&amp;IFERROR(IF(Hoja1!D116="","",IF(MOD(Hoja1!D116,1)=0,DOLLAR(Hoja1!D116,0),DOLLAR(Hoja1!D116,2))),"")&amp;CHAR(10)&amp;CHAR(10)&amp;"🌱 "&amp;SUBSTITUTE(TRIM(Hoja1!A117),"  "," ")&amp;CHAR(10)&amp;"💰 "&amp;IFERROR(IF(Hoja1!D117="","",IF(MOD(Hoja1!D117,1)=0,DOLLAR(Hoja1!D117,0),DOLLAR(Hoja1!D117,2))),"")&amp;IF(Hoja1!E117="","", " — "&amp;TRIM(Hoja1!E117))&amp;CHAR(10)&amp;CHAR(10)&amp;"🌱 "&amp;SUBSTITUTE(TRIM(Hoja1!A118),"  "," ")&amp;CHAR(10)&amp;"💰 "&amp;IFERROR(IF(Hoja1!D118="","",IF(MOD(Hoja1!D118,1)=0,DOLLAR(Hoja1!D118,0),DOLLAR(Hoja1!D118,2))),"")&amp;CHAR(10)&amp;CHAR(10)&amp;"🌱 "&amp;SUBSTITUTE(TRIM(Hoja1!A119),"  "," ")&amp;CHAR(10)&amp;"💰 "&amp;IFERROR(IF(Hoja1!D119="","",IF(MOD(Hoja1!D119,1)=0,DOLLAR(Hoja1!D119,0),DOLLAR(Hoja1!D119,2))),"")&amp;IF(Hoja1!E119="","", " — "&amp;TRIM(Hoja1!E119))</f>
        <v>🌱 AZARERO ENANO (PITTOSPORUM NANA)
🌱 E, 4 lts
💰 $ 10.461
🌱 E, 4 lts OFERTA 10 UNIDADES O MAS
💰 $ 9.956 — c/u
🌱 E. 10 lts
💰 $ 27.000
🌱 E. 10lts OFERTA 10 UNIDADES O MAS
💰 $ 25.000 — c/u</v>
      </c>
    </row>
    <row r="39" spans="1:2" ht="120" customHeight="1" x14ac:dyDescent="0.25">
      <c r="A39" s="32" t="s">
        <v>636</v>
      </c>
      <c r="B39" s="32" t="str">
        <f>"🌱 AZALEAS"&amp;CHAR(10)&amp;""&amp;CHAR(10)&amp;""&amp;"🌱 "&amp;SUBSTITUTE(TRIM(Hoja1!A121),"  "," ")&amp;CHAR(10)&amp;"💰 "&amp;IFERROR(IF(Hoja1!D121="","",IF(MOD(Hoja1!D121,1)=0,DOLLAR(Hoja1!D121,0),DOLLAR(Hoja1!D121,2))),"")&amp;CHAR(10)&amp;CHAR(10)&amp;"🌱 "&amp;SUBSTITUTE(TRIM(Hoja1!A122),"  "," ")&amp;CHAR(10)&amp;"💰 "&amp;IFERROR(IF(Hoja1!D122="","",IF(MOD(Hoja1!D122,1)=0,DOLLAR(Hoja1!D122,0),DOLLAR(Hoja1!D122,2))),"")&amp;CHAR(10)&amp;CHAR(10)&amp;"🌱 "&amp;SUBSTITUTE(TRIM(Hoja1!A123),"  "," ")&amp;CHAR(10)&amp;"💰 "&amp;IFERROR(IF(Hoja1!D123="","",IF(MOD(Hoja1!D123,1)=0,DOLLAR(Hoja1!D123,0),DOLLAR(Hoja1!D123,2))),"")&amp;IF(Hoja1!E123="","", " — "&amp;TRIM(Hoja1!E123))&amp;CHAR(10)&amp;CHAR(10)&amp;"🌱 "&amp;SUBSTITUTE(TRIM(Hoja1!A124),"  "," ")&amp;CHAR(10)&amp;"💰 "&amp;IFERROR(IF(Hoja1!D124="","",IF(MOD(Hoja1!D124,1)=0,DOLLAR(Hoja1!D124,0),DOLLAR(Hoja1!D124,2))),"")&amp;IF(Hoja1!E124="","", " — "&amp;TRIM(Hoja1!E124))&amp;CHAR(10)&amp;CHAR(10)&amp;"🌱 "&amp;SUBSTITUTE(TRIM(Hoja1!A125),"  "," ")&amp;CHAR(10)&amp;"💰 "&amp;IFERROR(IF(Hoja1!D125="","",IF(MOD(Hoja1!D125,1)=0,DOLLAR(Hoja1!D125,0),DOLLAR(Hoja1!D125,2))),"")&amp;IF(Hoja1!E125="","", " — "&amp;TRIM(Hoja1!E125))&amp;CHAR(10)&amp;CHAR(10)&amp;"🌱 "&amp;SUBSTITUTE(TRIM(Hoja1!A126),"  "," ")&amp;CHAR(10)&amp;"💰 "&amp;IFERROR(IF(Hoja1!D126="","",IF(MOD(Hoja1!D126,1)=0,DOLLAR(Hoja1!D126,0),DOLLAR(Hoja1!D126,2))),"")&amp;IF(Hoja1!E126="","", " — "&amp;TRIM(Hoja1!E126))</f>
        <v>🌱 AZALEAS
🌱 E. 4 lts colores surtidos
💰 $ 18.026
🌱 E. 10 lts colores surtidos
💰 $ 28.971
🌱 E. 20 lts colores surtidos
💰 $ 57.942 — s/stock
🌱 E. 30 lts colores surtidos
💰 $ 78.865,50 — s/stock
🌱 E. 40 lts colores surtidos
💰 $ 94.960,50 — s/stock
🌱 E. 50 lts colores surtidos
💰 $ 120.712,50 — s/stock</v>
      </c>
    </row>
    <row r="40" spans="1:2" ht="120" customHeight="1" x14ac:dyDescent="0.25">
      <c r="A40" s="32" t="s">
        <v>637</v>
      </c>
      <c r="B40" s="32" t="str">
        <f>"🌱 BARBA DE CHIVO. (CAESALPINIA GILLIESII)"&amp;CHAR(10)&amp;""&amp;CHAR(10)&amp;""&amp;"🌱 "&amp;SUBSTITUTE(TRIM(Hoja1!A128),"  "," ")&amp;CHAR(10)&amp;"💰 "&amp;IFERROR(IF(Hoja1!D128="","",IF(MOD(Hoja1!D128,1)=0,DOLLAR(Hoja1!D128,0),DOLLAR(Hoja1!D128,2))),"")&amp;IF(Hoja1!E128="","", " — "&amp;TRIM(Hoja1!E128))&amp;CHAR(10)&amp;CHAR(10)&amp;"🌱 "&amp;SUBSTITUTE(TRIM(Hoja1!A129),"  "," ")&amp;CHAR(10)&amp;"💰 "&amp;IFERROR(IF(Hoja1!D129="","",IF(MOD(Hoja1!D129,1)=0,DOLLAR(Hoja1!D129,0),DOLLAR(Hoja1!D129,2))),"")</f>
        <v>🌱 BARBA DE CHIVO. (CAESALPINIA GILLIESII)
🌱 E. 4 lts
💰 $ 22.588 — s/stock
🌱 E. 10 lts
💰 $ 43.956</v>
      </c>
    </row>
    <row r="41" spans="1:2" ht="120" customHeight="1" x14ac:dyDescent="0.25">
      <c r="A41" s="32" t="s">
        <v>638</v>
      </c>
      <c r="B41" s="32" t="str">
        <f>"🌱 BERBERIS THUNBERGII ATROPURPÚREA"&amp;CHAR(10)&amp;""&amp;CHAR(10)&amp;""&amp;"🌱 "&amp;SUBSTITUTE(TRIM(Hoja1!A131),"  "," ")&amp;CHAR(10)&amp;"💰 "&amp;IFERROR(IF(Hoja1!D131="","",IF(MOD(Hoja1!D131,1)=0,DOLLAR(Hoja1!D131,0),DOLLAR(Hoja1!D131,2))),"")&amp;CHAR(10)&amp;CHAR(10)&amp;"🌱 "&amp;SUBSTITUTE(TRIM(Hoja1!A132),"  "," ")&amp;CHAR(10)&amp;"💰 "&amp;IFERROR(IF(Hoja1!D132="","",IF(MOD(Hoja1!D132,1)=0,DOLLAR(Hoja1!D132,0),DOLLAR(Hoja1!D132,2))),"")</f>
        <v>🌱 BERBERIS THUNBERGII ATROPURPÚREA
🌱 E. 4 lts
💰 $ 12.232
🌱 E. 10 lts
💰 $ 27.000</v>
      </c>
    </row>
    <row r="42" spans="1:2" ht="120" customHeight="1" x14ac:dyDescent="0.25">
      <c r="A42" s="32" t="s">
        <v>639</v>
      </c>
      <c r="B42" s="32" t="str">
        <f>"🌱 BERBERIS THUNBERGII RED PILLAR"&amp;CHAR(10)&amp;""&amp;CHAR(10)&amp;""&amp;"🌱 "&amp;SUBSTITUTE(TRIM(Hoja1!A134),"  "," ")&amp;CHAR(10)&amp;"💰 "&amp;IFERROR(IF(Hoja1!D134="","",IF(MOD(Hoja1!D134,1)=0,DOLLAR(Hoja1!D134,0),DOLLAR(Hoja1!D134,2))),"")&amp;CHAR(10)&amp;CHAR(10)&amp;"🌱 "&amp;SUBSTITUTE(TRIM(Hoja1!A135),"  "," ")&amp;CHAR(10)&amp;"💰 "&amp;IFERROR(IF(Hoja1!D135="","",IF(MOD(Hoja1!D135,1)=0,DOLLAR(Hoja1!D135,0),DOLLAR(Hoja1!D135,2))),"")</f>
        <v>🌱 BERBERIS THUNBERGII RED PILLAR
🌱 E. 4 lts
💰 $ 12.232
🌱 E. 10 lts
💰 $ 27.000</v>
      </c>
    </row>
    <row r="43" spans="1:2" ht="120" customHeight="1" x14ac:dyDescent="0.25">
      <c r="A43" s="32" t="s">
        <v>640</v>
      </c>
      <c r="B43" s="32" t="str">
        <f>"🌱 BRACHYCHITON POPULNEUM"&amp;CHAR(10)&amp;""&amp;CHAR(10)&amp;""&amp;"📏 "&amp;SUBSTITUTE(TRIM(Hoja1!A137),"  "," ")&amp;CHAR(10)&amp;"💰 "&amp;IFERROR(IF(Hoja1!D137="","",IF(MOD(Hoja1!D137,1)=0,DOLLAR(Hoja1!D137,0),DOLLAR(Hoja1!D137,2))),"")&amp;CHAR(10)&amp;CHAR(10)&amp;"📏 "&amp;SUBSTITUTE(TRIM(Hoja1!A138),"  "," ")&amp;CHAR(10)&amp;"💰 "&amp;IFERROR(IF(Hoja1!D138="","",IF(MOD(Hoja1!D138,1)=0,DOLLAR(Hoja1!D138,0),DOLLAR(Hoja1!D138,2))),"")&amp;CHAR(10)&amp;CHAR(10)&amp;"📏 "&amp;SUBSTITUTE(TRIM(Hoja1!A139),"  "," ")&amp;CHAR(10)&amp;"💰 "&amp;IFERROR(IF(Hoja1!D139="","",IF(MOD(Hoja1!D139,1)=0,DOLLAR(Hoja1!D139,0),DOLLAR(Hoja1!D139,2))),"")&amp;CHAR(10)&amp;CHAR(10)&amp;"📏 "&amp;SUBSTITUTE(TRIM(Hoja1!A140),"  "," ")&amp;CHAR(10)&amp;"💰 "&amp;IFERROR(IF(Hoja1!D140="","",IF(MOD(Hoja1!D140,1)=0,DOLLAR(Hoja1!D140,0),DOLLAR(Hoja1!D140,2))),"")&amp;IF(Hoja1!E140="","", " — "&amp;TRIM(Hoja1!E140))</f>
        <v>🌱 BRACHYCHITON POPULNEUM
📏 100-120 cm. E. 4 lts
💰 $ 28.083
📏 120-150 cm. E. 10 lts
💰 $ 42.000
📏 150-180 cm. E. 15 lts
💰 $ 67.155
📏 180-210 cm E 20 lts
💰 $ 78.144 — s/stock</v>
      </c>
    </row>
    <row r="44" spans="1:2" ht="120" customHeight="1" x14ac:dyDescent="0.25">
      <c r="A44" s="32" t="s">
        <v>641</v>
      </c>
      <c r="B44" s="32" t="str">
        <f>"🌱 BUXUS SEMPERVIRENS (BOJ BUXUS)"&amp;CHAR(10)&amp;""&amp;CHAR(10)&amp;""&amp;"📏 "&amp;SUBSTITUTE(TRIM(Hoja1!A142),"  "," ")&amp;CHAR(10)&amp;"💰 "&amp;IFERROR(IF(Hoja1!D142="","",IF(MOD(Hoja1!D142,1)=0,DOLLAR(Hoja1!D142,0),DOLLAR(Hoja1!D142,2))),"")&amp;CHAR(10)&amp;CHAR(10)&amp;"📏 "&amp;SUBSTITUTE(TRIM(Hoja1!A143),"  "," ")&amp;CHAR(10)&amp;"💰 "&amp;IFERROR(IF(Hoja1!D143="","",IF(MOD(Hoja1!D143,1)=0,DOLLAR(Hoja1!D143,0),DOLLAR(Hoja1!D143,2))),"")&amp;CHAR(10)&amp;CHAR(10)&amp;"📏 "&amp;SUBSTITUTE(TRIM(Hoja1!A144),"  "," ")&amp;CHAR(10)&amp;"💰 "&amp;IFERROR(IF(Hoja1!D144="","",IF(MOD(Hoja1!D144,1)=0,DOLLAR(Hoja1!D144,0),DOLLAR(Hoja1!D144,2))),"")&amp;CHAR(10)&amp;CHAR(10)&amp;"🌱 "&amp;SUBSTITUTE(TRIM(Hoja1!A145),"  "," ")&amp;CHAR(10)&amp;"💰 "&amp;IFERROR(IF(Hoja1!D145="","",IF(MOD(Hoja1!D145,1)=0,DOLLAR(Hoja1!D145,0),DOLLAR(Hoja1!D145,2))),"")</f>
        <v>🌱 BUXUS SEMPERVIRENS (BOJ BUXUS)
📏 E. 4 lts 30cm
💰 $ 12.987
📏 E. 10 lts 60cm
💰 $ 27.000
📏 E. 15 lts 70-80cm
💰 $ 36.500
🌱 Bocha x 20lts
💰 $ 60.000</v>
      </c>
    </row>
    <row r="45" spans="1:2" ht="120" customHeight="1" x14ac:dyDescent="0.25">
      <c r="A45" s="32" t="s">
        <v>138</v>
      </c>
      <c r="B45" s="32" t="str">
        <f>"🌱 BUXUS MICROPHILIA"&amp;CHAR(10)&amp;""&amp;CHAR(10)&amp;""&amp;"🌱 "&amp;SUBSTITUTE(TRIM(Hoja1!A147),"  "," ")&amp;CHAR(10)&amp;"💰 "&amp;IFERROR(IF(Hoja1!D147="","",IF(MOD(Hoja1!D147,1)=0,DOLLAR(Hoja1!D147,0),DOLLAR(Hoja1!D147,2))),"")&amp;CHAR(10)&amp;CHAR(10)&amp;"🌱 "&amp;SUBSTITUTE(TRIM(Hoja1!A148),"  "," ")&amp;CHAR(10)&amp;"💰 "&amp;IFERROR(IF(Hoja1!D148="","",IF(MOD(Hoja1!D148,1)=0,DOLLAR(Hoja1!D148,0),DOLLAR(Hoja1!D148,2))),"")</f>
        <v>🌱 BUXUS MICROPHILIA
🌱 E. 4lts
💰 $ 12.987
🌱 E. 10lts.
💰 $ 27.000</v>
      </c>
    </row>
    <row r="46" spans="1:2" ht="120" customHeight="1" x14ac:dyDescent="0.25">
      <c r="A46" s="32" t="s">
        <v>642</v>
      </c>
      <c r="B46" s="32" t="str">
        <f>"🌱 CALA (ZANTEDESCHIA AETHIOPICA)"&amp;CHAR(10)&amp;""&amp;CHAR(10)&amp;""&amp;"🌱 "&amp;SUBSTITUTE(TRIM(Hoja1!A150),"  "," ")&amp;CHAR(10)&amp;"💰 "&amp;IFERROR(IF(Hoja1!D150="","",IF(MOD(Hoja1!D150,1)=0,DOLLAR(Hoja1!D150,0),DOLLAR(Hoja1!D150,2))),"")</f>
        <v>🌱 CALA (ZANTEDESCHIA AETHIOPICA)
🌱 E. 10 lts
💰 $ 25.000</v>
      </c>
    </row>
    <row r="47" spans="1:2" ht="120" customHeight="1" x14ac:dyDescent="0.25">
      <c r="A47" s="32" t="s">
        <v>643</v>
      </c>
      <c r="B47" s="32" t="str">
        <f>"🌱 CALLISTEMON LANCEOLATUS IMPERIALLIS"&amp;CHAR(10)&amp;""&amp;CHAR(10)&amp;""&amp;"🌱 "&amp;SUBSTITUTE(TRIM(Hoja1!A152),"  "," ")&amp;CHAR(10)&amp;"💰 "&amp;IFERROR(IF(Hoja1!D152="","",IF(MOD(Hoja1!D152,1)=0,DOLLAR(Hoja1!D152,0),DOLLAR(Hoja1!D152,2))),"")&amp;CHAR(10)&amp;CHAR(10)&amp;"📏 "&amp;SUBSTITUTE(TRIM(Hoja1!A153),"  "," ")&amp;CHAR(10)&amp;"💰 "&amp;IFERROR(IF(Hoja1!D153="","",IF(MOD(Hoja1!D153,1)=0,DOLLAR(Hoja1!D153,0),DOLLAR(Hoja1!D153,2))),"")</f>
        <v>🌱 CALLISTEMON LANCEOLATUS IMPERIALLIS
🌱 E. 4 lts
💰 $ 12.232
📏 E. 10 lts 100cm
💰 $ 27.000</v>
      </c>
    </row>
    <row r="48" spans="1:2" ht="120" customHeight="1" x14ac:dyDescent="0.25">
      <c r="A48" s="32" t="s">
        <v>644</v>
      </c>
      <c r="B48" s="32" t="str">
        <f>"🌱 CALLISTEMON SALIGNUM (MELALEUCA)"&amp;CHAR(10)&amp;""&amp;CHAR(10)&amp;""&amp;"📏 "&amp;SUBSTITUTE(TRIM(Hoja1!A155),"  "," ")&amp;CHAR(10)&amp;"💰 "&amp;IFERROR(IF(Hoja1!D155="","",IF(MOD(Hoja1!D155,1)=0,DOLLAR(Hoja1!D155,0),DOLLAR(Hoja1!D155,2))),"")&amp;CHAR(10)&amp;CHAR(10)&amp;"📏 "&amp;SUBSTITUTE(TRIM(Hoja1!A156),"  "," ")&amp;CHAR(10)&amp;"💰 "&amp;IFERROR(IF(Hoja1!D156="","",IF(MOD(Hoja1!D156,1)=0,DOLLAR(Hoja1!D156,0),DOLLAR(Hoja1!D156,2))),"")</f>
        <v>🌱 CALLISTEMON SALIGNUM (MELALEUCA)
📏 flor blanca E. 10lts 150cm
💰 $ 27.000
📏 flor blanca E. 20lts 150-180cm
💰 $ 49.900</v>
      </c>
    </row>
    <row r="49" spans="1:2" ht="120" customHeight="1" x14ac:dyDescent="0.25">
      <c r="A49" s="32" t="s">
        <v>645</v>
      </c>
      <c r="B49" s="32" t="str">
        <f>"🌱 CAMELIA JAPONICA"&amp;CHAR(10)&amp;""&amp;CHAR(10)&amp;""&amp;"🌱 "&amp;SUBSTITUTE(TRIM(Hoja1!A158),"  "," ")&amp;CHAR(10)&amp;"💰 "&amp;IFERROR(IF(Hoja1!D158="","",IF(MOD(Hoja1!D158,1)=0,DOLLAR(Hoja1!D158,0),DOLLAR(Hoja1!D158,2))),"")</f>
        <v>🌱 CAMELIA JAPONICA
🌱 E. 10 lts
💰 $ 38.500</v>
      </c>
    </row>
    <row r="50" spans="1:2" ht="120" customHeight="1" x14ac:dyDescent="0.25">
      <c r="A50" s="32" t="s">
        <v>646</v>
      </c>
      <c r="B50" s="32" t="str">
        <f>"🌱 CAÑA DE LA INDIA (PHYLLOSTACHIS BABBUSOIDES)"&amp;CHAR(10)&amp;""&amp;CHAR(10)&amp;""&amp;"📏 "&amp;SUBSTITUTE(TRIM(Hoja1!A160),"  "," ")&amp;CHAR(10)&amp;"💰 "&amp;IFERROR(IF(Hoja1!D160="","",IF(MOD(Hoja1!D160,1)=0,DOLLAR(Hoja1!D160,0),DOLLAR(Hoja1!D160,2))),"")&amp;IF(Hoja1!E160="","", " — "&amp;TRIM(Hoja1!E160))</f>
        <v xml:space="preserve">🌱 CAÑA DE LA INDIA (PHYLLOSTACHIS BABBUSOIDES)
📏 160 cm. E. 10 lts
💰 $ 27.000 — </v>
      </c>
    </row>
    <row r="51" spans="1:2" ht="120" customHeight="1" x14ac:dyDescent="0.25">
      <c r="A51" s="32" t="s">
        <v>647</v>
      </c>
      <c r="B51" s="32" t="str">
        <f>"🌱 CAÑA ENANA (POGONATHERUM JUNCACEUM)"&amp;CHAR(10)&amp;""&amp;CHAR(10)&amp;""&amp;"🌱 "&amp;SUBSTITUTE(TRIM(Hoja1!A162),"  "," ")&amp;CHAR(10)&amp;"💰 "&amp;IFERROR(IF(Hoja1!D162="","",IF(MOD(Hoja1!D162,1)=0,DOLLAR(Hoja1!D162,0),DOLLAR(Hoja1!D162,2))),"")&amp;CHAR(10)&amp;CHAR(10)&amp;"🌱 "&amp;SUBSTITUTE(TRIM(Hoja1!A163),"  "," ")&amp;CHAR(10)&amp;"💰 "&amp;IFERROR(IF(Hoja1!D163="","",IF(MOD(Hoja1!D163,1)=0,DOLLAR(Hoja1!D163,0),DOLLAR(Hoja1!D163,2))),"")&amp;IF(Hoja1!E163="","", " — "&amp;TRIM(Hoja1!E163))&amp;CHAR(10)&amp;CHAR(10)&amp;"🌱 "&amp;SUBSTITUTE(TRIM(Hoja1!A164),"  "," ")&amp;CHAR(10)&amp;CHAR(10)&amp;"🌱 "&amp;SUBSTITUTE(TRIM(Hoja1!A165),"  "," ")&amp;CHAR(10)&amp;"💰 "&amp;IFERROR(IF(Hoja1!D165="","",IF(MOD(Hoja1!D165,1)=0,DOLLAR(Hoja1!D165,0),DOLLAR(Hoja1!D165,2))),"")</f>
        <v>🌱 CAÑA ENANA (POGONATHERUM JUNCACEUM)
🌱 E. 4 lts
💰 $ 12.232
🌱 E. 10 lts
💰 $ 32.190 — s/stock
🌱 Caña Multiplex
🌱 E. 10 lts
💰 $ 27.000</v>
      </c>
    </row>
    <row r="52" spans="1:2" ht="120" customHeight="1" x14ac:dyDescent="0.25">
      <c r="A52" s="32" t="s">
        <v>648</v>
      </c>
      <c r="B52" s="32" t="str">
        <f>"🌱 CAREX BRONZINA"&amp;CHAR(10)&amp;""&amp;CHAR(10)&amp;""&amp;"🌱 "&amp;SUBSTITUTE(TRIM(Hoja1!A167),"  "," ")&amp;CHAR(10)&amp;"💰 "&amp;IFERROR(IF(Hoja1!D167="","",IF(MOD(Hoja1!D167,1)=0,DOLLAR(Hoja1!D167,0),DOLLAR(Hoja1!D167,2))),"")</f>
        <v>🌱 CAREX BRONZINA
🌱 E. 4 lts
💰 $ 8.900</v>
      </c>
    </row>
    <row r="53" spans="1:2" ht="120" customHeight="1" x14ac:dyDescent="0.25">
      <c r="A53" s="32" t="s">
        <v>649</v>
      </c>
      <c r="B53" s="32" t="str">
        <f>"🌱 CASUARINA CUNNINGHAMIANA"&amp;CHAR(10)&amp;""&amp;CHAR(10)&amp;""&amp;"📏 "&amp;SUBSTITUTE(TRIM(Hoja1!A169),"  "," ")&amp;CHAR(10)&amp;"💰 "&amp;IFERROR(IF(Hoja1!D169="","",IF(MOD(Hoja1!D169,1)=0,DOLLAR(Hoja1!D169,0),DOLLAR(Hoja1!D169,2))),"")&amp;CHAR(10)&amp;CHAR(10)&amp;"📏 "&amp;SUBSTITUTE(TRIM(Hoja1!A170),"  "," ")&amp;CHAR(10)&amp;"💰 "&amp;IFERROR(IF(Hoja1!D170="","",IF(MOD(Hoja1!D170,1)=0,DOLLAR(Hoja1!D170,0),DOLLAR(Hoja1!D170,2))),"")&amp;IF(Hoja1!E170="","", " — "&amp;TRIM(Hoja1!E170))&amp;CHAR(10)&amp;CHAR(10)&amp;"📏 "&amp;SUBSTITUTE(TRIM(Hoja1!A171),"  "," ")&amp;CHAR(10)&amp;"💰 "&amp;IFERROR(IF(Hoja1!D171="","",IF(MOD(Hoja1!D171,1)=0,DOLLAR(Hoja1!D171,0),DOLLAR(Hoja1!D171,2))),"")&amp;IF(Hoja1!E171="","", " — "&amp;TRIM(Hoja1!E171))&amp;CHAR(10)&amp;CHAR(10)&amp;"📏 "&amp;SUBSTITUTE(TRIM(Hoja1!A172),"  "," ")&amp;CHAR(10)&amp;"💰 "&amp;IFERROR(IF(Hoja1!D172="","",IF(MOD(Hoja1!D172,1)=0,DOLLAR(Hoja1!D172,0),DOLLAR(Hoja1!D172,2))),"")&amp;IF(Hoja1!E172="","", " — "&amp;TRIM(Hoja1!E172))&amp;CHAR(10)&amp;CHAR(10)&amp;"📏 "&amp;SUBSTITUTE(TRIM(Hoja1!A173),"  "," ")&amp;CHAR(10)&amp;"💰 "&amp;IFERROR(IF(Hoja1!D173="","",IF(MOD(Hoja1!D173,1)=0,DOLLAR(Hoja1!D173,0),DOLLAR(Hoja1!D173,2))),"")&amp;CHAR(10)&amp;CHAR(10)&amp;"📏 "&amp;SUBSTITUTE(TRIM(Hoja1!A174),"  "," ")&amp;CHAR(10)&amp;"💰 "&amp;IFERROR(IF(Hoja1!D174="","",IF(MOD(Hoja1!D174,1)=0,DOLLAR(Hoja1!D174,0),DOLLAR(Hoja1!D174,2))),"")&amp;CHAR(10)&amp;CHAR(10)&amp;"📏 "&amp;SUBSTITUTE(TRIM(Hoja1!A175),"  "," ")&amp;CHAR(10)&amp;"💰 "&amp;IFERROR(IF(Hoja1!D175="","",IF(MOD(Hoja1!D175,1)=0,DOLLAR(Hoja1!D175,0),DOLLAR(Hoja1!D175,2))),"")</f>
        <v>🌱 CASUARINA CUNNINGHAMIANA
📏 120-150 cm. E. 4 lts
💰 $ 12.232
📏 150-180 cm.
💰 $ 16.650 — s/stock
📏 180-210 cm.
💰 $ 21.090 — s/stock
📏 210-250 cm.
💰 $ 27.750 — s/stock
📏 250-300 cm
💰 $ 32.000
📏 300-350 cm
💰 $ 45.000
📏 350-400 cm
💰 $ 64.000</v>
      </c>
    </row>
    <row r="54" spans="1:2" ht="120" customHeight="1" x14ac:dyDescent="0.25">
      <c r="A54" s="32" t="s">
        <v>650</v>
      </c>
      <c r="B54" s="32" t="str">
        <f>"🌱 CATALPA BIGNONIOIDES"&amp;CHAR(10)&amp;""&amp;CHAR(10)&amp;""&amp;"📏 "&amp;SUBSTITUTE(TRIM(Hoja1!A177),"  "," ")&amp;CHAR(10)&amp;"💰 "&amp;IFERROR(IF(Hoja1!D177="","",IF(MOD(Hoja1!D177,1)=0,DOLLAR(Hoja1!D177,0),DOLLAR(Hoja1!D177,2))),"")&amp;CHAR(10)&amp;CHAR(10)&amp;"📏 "&amp;SUBSTITUTE(TRIM(Hoja1!A178),"  "," ")&amp;CHAR(10)&amp;"💰 "&amp;IFERROR(IF(Hoja1!D178="","",IF(MOD(Hoja1!D178,1)=0,DOLLAR(Hoja1!D178,0),DOLLAR(Hoja1!D178,2))),"")</f>
        <v>🌱 CATALPA BIGNONIOIDES
📏 con copa, mide mas de 200cm de altura con 8-10 cm circunsf tronco. E. 15 lts.
💰 $ 61.050
📏 con copa, 10-12 cm. E. 20 lts.
💰 $ 71.040</v>
      </c>
    </row>
    <row r="55" spans="1:2" ht="120" customHeight="1" x14ac:dyDescent="0.25">
      <c r="A55" s="32" t="s">
        <v>651</v>
      </c>
      <c r="B55" s="32" t="str">
        <f>"🌱 CEIBO. (ERYTHRINA CRISTA-GALLI)"&amp;CHAR(10)&amp;""&amp;CHAR(10)&amp;""&amp;"🌱 "&amp;SUBSTITUTE(TRIM(Hoja1!A180),"  "," ")&amp;CHAR(10)&amp;"💰 "&amp;IFERROR(IF(Hoja1!D180="","",IF(MOD(Hoja1!D180,1)=0,DOLLAR(Hoja1!D180,0),DOLLAR(Hoja1!D180,2))),"")&amp;CHAR(10)&amp;CHAR(10)&amp;"📏 "&amp;SUBSTITUTE(TRIM(Hoja1!A181),"  "," ")&amp;CHAR(10)&amp;"💰 "&amp;IFERROR(IF(Hoja1!D181="","",IF(MOD(Hoja1!D181,1)=0,DOLLAR(Hoja1!D181,0),DOLLAR(Hoja1!D181,2))),"")&amp;CHAR(10)&amp;CHAR(10)&amp;"📏 "&amp;SUBSTITUTE(TRIM(Hoja1!A182),"  "," ")&amp;CHAR(10)&amp;"💰 "&amp;IFERROR(IF(Hoja1!D182="","",IF(MOD(Hoja1!D182,1)=0,DOLLAR(Hoja1!D182,0),DOLLAR(Hoja1!D182,2))),"")&amp;IF(Hoja1!E182="","", " — "&amp;TRIM(Hoja1!E182))&amp;CHAR(10)&amp;CHAR(10)&amp;"📏 "&amp;SUBSTITUTE(TRIM(Hoja1!A183),"  "," ")&amp;CHAR(10)&amp;"💰 "&amp;IFERROR(IF(Hoja1!D183="","",IF(MOD(Hoja1!D183,1)=0,DOLLAR(Hoja1!D183,0),DOLLAR(Hoja1!D183,2))),"")</f>
        <v>🌱 CEIBO. (ERYTHRINA CRISTA-GALLI)
🌱 E. 4 lts
💰 $ 12.210
📏 E. 10 lts 120-130cm
💰 $ 31.746
📏 E. 15 lts 130-150cm
💰 $ 45.177 — s/stock
📏 E. 20 lts 150-160cm
💰 $ 74.000</v>
      </c>
    </row>
    <row r="56" spans="1:2" ht="120" customHeight="1" x14ac:dyDescent="0.25">
      <c r="A56" s="32" t="s">
        <v>652</v>
      </c>
      <c r="B56" s="32" t="str">
        <f>"🌱 CLIVIA"&amp;CHAR(10)&amp;""&amp;CHAR(10)&amp;""&amp;"🌱 "&amp;SUBSTITUTE(TRIM(Hoja1!A185),"  "," ")&amp;CHAR(10)&amp;"💰 "&amp;IFERROR(IF(Hoja1!D185="","",IF(MOD(Hoja1!D185,1)=0,DOLLAR(Hoja1!D185,0),DOLLAR(Hoja1!D185,2))),"")&amp;IF(Hoja1!E185="","", " — "&amp;TRIM(Hoja1!E185))&amp;CHAR(10)&amp;CHAR(10)&amp;"🌱 "&amp;SUBSTITUTE(TRIM(Hoja1!A186),"  "," ")&amp;CHAR(10)&amp;"💰 "&amp;IFERROR(IF(Hoja1!D186="","",IF(MOD(Hoja1!D186,1)=0,DOLLAR(Hoja1!D186,0),DOLLAR(Hoja1!D186,2))),"")</f>
        <v>🌱 CLIVIA
🌱 E 4 lts
💰 $ 21.645 — s/stock
🌱 E. 10 lts
💰 $ 34.632</v>
      </c>
    </row>
    <row r="57" spans="1:2" ht="120" customHeight="1" x14ac:dyDescent="0.25">
      <c r="A57" s="32" t="s">
        <v>653</v>
      </c>
      <c r="B57" s="32" t="str">
        <f>"🌱 CINA - CINA. (PARKINSONIA ACULEATA)"&amp;CHAR(10)&amp;""&amp;CHAR(10)&amp;""&amp;"🌱 "&amp;SUBSTITUTE(TRIM(Hoja1!A188),"  "," ")&amp;CHAR(10)&amp;"💰 "&amp;IFERROR(IF(Hoja1!D188="","",IF(MOD(Hoja1!D188,1)=0,DOLLAR(Hoja1!D188,0),DOLLAR(Hoja1!D188,2))),"")&amp;CHAR(10)&amp;CHAR(10)&amp;"🌱 "&amp;SUBSTITUTE(TRIM(Hoja1!A189),"  "," ")&amp;CHAR(10)&amp;"💰 "&amp;IFERROR(IF(Hoja1!D189="","",IF(MOD(Hoja1!D189,1)=0,DOLLAR(Hoja1!D189,0),DOLLAR(Hoja1!D189,2))),"")&amp;CHAR(10)&amp;CHAR(10)&amp;"🌱 "&amp;SUBSTITUTE(TRIM(Hoja1!A190),"  "," ")&amp;CHAR(10)&amp;"💰 "&amp;IFERROR(IF(Hoja1!D190="","",IF(MOD(Hoja1!D190,1)=0,DOLLAR(Hoja1!D190,0),DOLLAR(Hoja1!D190,2))),"")&amp;CHAR(10)&amp;CHAR(10)&amp;"🌱 "&amp;SUBSTITUTE(TRIM(Hoja1!A191),"  "," ")&amp;CHAR(10)&amp;"💰 "&amp;IFERROR(IF(Hoja1!D191="","",IF(MOD(Hoja1!D191,1)=0,DOLLAR(Hoja1!D191,0),DOLLAR(Hoja1!D191,2))),"")</f>
        <v>🌱 CINA - CINA. (PARKINSONIA ACULEATA)
🌱 E. 4 lts
💰 $ 18.315
🌱 E. 10 lts
💰 $ 32.967
🌱 Colocacia ilustreis hoja negra
💰 
🌱 E. 4lts
💰 $ 33.333,30</v>
      </c>
    </row>
    <row r="58" spans="1:2" ht="120" customHeight="1" x14ac:dyDescent="0.25">
      <c r="A58" s="32" t="s">
        <v>654</v>
      </c>
      <c r="B58" s="32" t="str">
        <f>"🌱 CORONA DE NOVIA (SPIRAEA CANTONIENSIS)"&amp;CHAR(10)&amp;""&amp;CHAR(10)&amp;""&amp;"🌱 "&amp;SUBSTITUTE(TRIM(Hoja1!A193),"  "," ")&amp;CHAR(10)&amp;"💰 "&amp;IFERROR(IF(Hoja1!D193="","",IF(MOD(Hoja1!D193,1)=0,DOLLAR(Hoja1!D193,0),DOLLAR(Hoja1!D193,2))),"")&amp;CHAR(10)&amp;CHAR(10)&amp;"🌱 "&amp;SUBSTITUTE(TRIM(Hoja1!A194),"  "," ")&amp;CHAR(10)&amp;"💰 "&amp;IFERROR(IF(Hoja1!D194="","",IF(MOD(Hoja1!D194,1)=0,DOLLAR(Hoja1!D194,0),DOLLAR(Hoja1!D194,2))),"")</f>
        <v>🌱 CORONA DE NOVIA (SPIRAEA CANTONIENSIS)
🌱 flor blanca doble E. 4 lts
💰 $ 12.232
🌱 flor blanca doble E. 10 lts
💰 $ 27.000</v>
      </c>
    </row>
    <row r="59" spans="1:2" ht="120" customHeight="1" x14ac:dyDescent="0.25">
      <c r="A59" s="32" t="s">
        <v>655</v>
      </c>
      <c r="B59" s="32" t="str">
        <f>"🌱 CORTADEIRA SELLONA (PAMPA GRASS)"&amp;CHAR(10)&amp;""&amp;CHAR(10)&amp;""&amp;"🌱 "&amp;SUBSTITUTE(TRIM(Hoja1!A196),"  "," ")&amp;CHAR(10)&amp;"💰 "&amp;IFERROR(IF(Hoja1!D196="","",IF(MOD(Hoja1!D196,1)=0,DOLLAR(Hoja1!D196,0),DOLLAR(Hoja1!D196,2))),"")&amp;IF(Hoja1!E196="","", " — "&amp;TRIM(Hoja1!E196))&amp;CHAR(10)&amp;CHAR(10)&amp;"🌱 "&amp;SUBSTITUTE(TRIM(Hoja1!A197),"  "," ")&amp;CHAR(10)&amp;"💰 "&amp;IFERROR(IF(Hoja1!D197="","",IF(MOD(Hoja1!D197,1)=0,DOLLAR(Hoja1!D197,0),DOLLAR(Hoja1!D197,2))),"")</f>
        <v>🌱 CORTADEIRA SELLONA (PAMPA GRASS)
🌱 flor blanca, E. 4 lts
💰 $ 12.232 — 
🌱 flor blanca E10 lts
💰 $ 27.000</v>
      </c>
    </row>
    <row r="60" spans="1:2" ht="120" customHeight="1" x14ac:dyDescent="0.25">
      <c r="A60" s="32" t="s">
        <v>656</v>
      </c>
      <c r="B60" s="32" t="str">
        <f>"🌱 COTONEASTER DIELSIANA"&amp;CHAR(10)&amp;""&amp;CHAR(10)&amp;""&amp;"🌱 "&amp;SUBSTITUTE(TRIM(Hoja1!A199),"  "," ")&amp;CHAR(10)&amp;"💰 "&amp;IFERROR(IF(Hoja1!D199="","",IF(MOD(Hoja1!D199,1)=0,DOLLAR(Hoja1!D199,0),DOLLAR(Hoja1!D199,2))),"")&amp;CHAR(10)&amp;CHAR(10)&amp;"🌱 "&amp;SUBSTITUTE(TRIM(Hoja1!A200),"  "," ")&amp;CHAR(10)&amp;"💰 "&amp;IFERROR(IF(Hoja1!D200="","",IF(MOD(Hoja1!D200,1)=0,DOLLAR(Hoja1!D200,0),DOLLAR(Hoja1!D200,2))),"")</f>
        <v>🌱 COTONEASTER DIELSIANA
🌱 E. 4 lts
💰 $ 12.232
🌱 E. 10 lts
💰 $ 27.000</v>
      </c>
    </row>
    <row r="61" spans="1:2" ht="120" customHeight="1" x14ac:dyDescent="0.25">
      <c r="A61" s="32" t="s">
        <v>657</v>
      </c>
      <c r="B61" s="32" t="str">
        <f>"🌱 COTONEASTER FRANCHETTI"&amp;CHAR(10)&amp;""&amp;CHAR(10)&amp;""&amp;"🌱 "&amp;SUBSTITUTE(TRIM(Hoja1!A202),"  "," ")&amp;CHAR(10)&amp;"💰 "&amp;IFERROR(IF(Hoja1!D202="","",IF(MOD(Hoja1!D202,1)=0,DOLLAR(Hoja1!D202,0),DOLLAR(Hoja1!D202,2))),"")&amp;CHAR(10)&amp;CHAR(10)&amp;"🌱 "&amp;SUBSTITUTE(TRIM(Hoja1!A203),"  "," ")&amp;CHAR(10)&amp;"💰 "&amp;IFERROR(IF(Hoja1!D203="","",IF(MOD(Hoja1!D203,1)=0,DOLLAR(Hoja1!D203,0),DOLLAR(Hoja1!D203,2))),"")</f>
        <v>🌱 COTONEASTER FRANCHETTI
🌱 E. 4lts
💰 $ 12.232
🌱 E. 10lts
💰 $ 27.000</v>
      </c>
    </row>
    <row r="62" spans="1:2" ht="120" customHeight="1" x14ac:dyDescent="0.25">
      <c r="A62" s="32" t="s">
        <v>658</v>
      </c>
      <c r="B62" s="32" t="str">
        <f>"🌱 COTONEASTER RACIMIFLORA"&amp;CHAR(10)&amp;""&amp;CHAR(10)&amp;""&amp;"🌱 "&amp;SUBSTITUTE(TRIM(Hoja1!A205),"  "," ")&amp;CHAR(10)&amp;"💰 "&amp;IFERROR(IF(Hoja1!D205="","",IF(MOD(Hoja1!D205,1)=0,DOLLAR(Hoja1!D205,0),DOLLAR(Hoja1!D205,2))),"")&amp;CHAR(10)&amp;CHAR(10)&amp;"🌱 "&amp;SUBSTITUTE(TRIM(Hoja1!A206),"  "," ")&amp;CHAR(10)&amp;"💰 "&amp;IFERROR(IF(Hoja1!D206="","",IF(MOD(Hoja1!D206,1)=0,DOLLAR(Hoja1!D206,0),DOLLAR(Hoja1!D206,2))),"")</f>
        <v>🌱 COTONEASTER RACIMIFLORA
🌱 E. 4 lts
💰 $ 12.232
🌱 E. 10 lts
💰 $ 27.000</v>
      </c>
    </row>
    <row r="63" spans="1:2" ht="120" customHeight="1" x14ac:dyDescent="0.25">
      <c r="A63" s="32" t="s">
        <v>659</v>
      </c>
      <c r="B63" s="32" t="str">
        <f>"🌱 COTONEASTER SEROTINA"&amp;CHAR(10)&amp;""&amp;CHAR(10)&amp;""&amp;"🌱 "&amp;SUBSTITUTE(TRIM(Hoja1!A208),"  "," ")&amp;CHAR(10)&amp;"💰 "&amp;IFERROR(IF(Hoja1!D208="","",IF(MOD(Hoja1!D208,1)=0,DOLLAR(Hoja1!D208,0),DOLLAR(Hoja1!D208,2))),"")&amp;CHAR(10)&amp;CHAR(10)&amp;"🌱 "&amp;SUBSTITUTE(TRIM(Hoja1!A209),"  "," ")&amp;CHAR(10)&amp;"💰 "&amp;IFERROR(IF(Hoja1!D209="","",IF(MOD(Hoja1!D209,1)=0,DOLLAR(Hoja1!D209,0),DOLLAR(Hoja1!D209,2))),"")&amp;IF(Hoja1!E209="","", " — "&amp;TRIM(Hoja1!E209))</f>
        <v>🌱 COTONEASTER SEROTINA
🌱 E. 4 lts
💰 $ 12.232
🌱 E. 10 lts
💰 $ 27.000 — s/stock</v>
      </c>
    </row>
    <row r="64" spans="1:2" ht="120" customHeight="1" x14ac:dyDescent="0.25">
      <c r="A64" s="32" t="s">
        <v>660</v>
      </c>
      <c r="B64" s="32" t="str">
        <f>"🌱 CRATAEGUS (PYRACANTHA COCCINEA)"&amp;CHAR(10)&amp;""&amp;CHAR(10)&amp;""&amp;"📏 "&amp;SUBSTITUTE(TRIM(Hoja1!A211),"  "," ")&amp;CHAR(10)&amp;"💰 "&amp;IFERROR(IF(Hoja1!D211="","",IF(MOD(Hoja1!D211,1)=0,DOLLAR(Hoja1!D211,0),DOLLAR(Hoja1!D211,2))),"")</f>
        <v>🌱 CRATAEGUS (PYRACANTHA COCCINEA)
📏 fruto amarillo y rojo 120 cm. E. 4 lts
💰 $ 9.657</v>
      </c>
    </row>
    <row r="65" spans="1:2" ht="120" customHeight="1" x14ac:dyDescent="0.25">
      <c r="A65" s="32" t="s">
        <v>661</v>
      </c>
      <c r="B65" s="32" t="str">
        <f>"🌱 CRATAEGUS VANHEDENI (PYRACANTHA CRENATOSERRATA"&amp;CHAR(10)&amp;""&amp;CHAR(10)&amp;""&amp;"📏 "&amp;SUBSTITUTE(TRIM(Hoja1!A213),"  "," ")&amp;CHAR(10)&amp;"💰 "&amp;IFERROR(IF(Hoja1!D213="","",IF(MOD(Hoja1!D213,1)=0,DOLLAR(Hoja1!D213,0),DOLLAR(Hoja1!D213,2))),"")&amp;CHAR(10)&amp;CHAR(10)&amp;"📏 "&amp;SUBSTITUTE(TRIM(Hoja1!A214),"  "," ")&amp;CHAR(10)&amp;"💰 "&amp;IFERROR(IF(Hoja1!D214="","",IF(MOD(Hoja1!D214,1)=0,DOLLAR(Hoja1!D214,0),DOLLAR(Hoja1!D214,2))),"")</f>
        <v>🌱 CRATAEGUS VANHEDENI (PYRACANTHA CRENATOSERRATA
📏 100-120cm. E. 4 lts
💰 $ 12.876
📏 150-180cm E. 10lts
💰 $ 27.000</v>
      </c>
    </row>
    <row r="66" spans="1:2" ht="120" customHeight="1" x14ac:dyDescent="0.25">
      <c r="A66" s="32" t="s">
        <v>662</v>
      </c>
      <c r="B66" s="32" t="str">
        <f>"🌱 CUPRESSOCYPARIS LEYLANDI"&amp;CHAR(10)&amp;""&amp;CHAR(10)&amp;""&amp;"📏 "&amp;SUBSTITUTE(TRIM(Hoja1!A216),"  "," ")&amp;CHAR(10)&amp;"💰 "&amp;IFERROR(IF(Hoja1!D216="","",IF(MOD(Hoja1!D216,1)=0,DOLLAR(Hoja1!D216,0),DOLLAR(Hoja1!D216,2))),"")&amp;CHAR(10)&amp;CHAR(10)&amp;"📏 "&amp;SUBSTITUTE(TRIM(Hoja1!A217),"  "," ")&amp;CHAR(10)&amp;"💰 "&amp;IFERROR(IF(Hoja1!D217="","",IF(MOD(Hoja1!D217,1)=0,DOLLAR(Hoja1!D217,0),DOLLAR(Hoja1!D217,2))),"")&amp;CHAR(10)&amp;CHAR(10)&amp;"📏 "&amp;SUBSTITUTE(TRIM(Hoja1!A218),"  "," ")&amp;CHAR(10)&amp;"💰 "&amp;IFERROR(IF(Hoja1!D218="","",IF(MOD(Hoja1!D218,1)=0,DOLLAR(Hoja1!D218,0),DOLLAR(Hoja1!D218,2))),"")&amp;CHAR(10)&amp;CHAR(10)&amp;"📏 "&amp;SUBSTITUTE(TRIM(Hoja1!A219),"  "," ")&amp;CHAR(10)&amp;"💰 "&amp;IFERROR(IF(Hoja1!D219="","",IF(MOD(Hoja1!D219,1)=0,DOLLAR(Hoja1!D219,0),DOLLAR(Hoja1!D219,2))),"")</f>
        <v>🌱 CUPRESSOCYPARIS LEYLANDI
📏 80-120cm
💰 $ 12.500
📏 120-150cm
💰 $ 29.000
📏 150-180cm
💰 $ 35.000
📏 180-250cm
💰 $ 137.085</v>
      </c>
    </row>
    <row r="67" spans="1:2" ht="120" customHeight="1" x14ac:dyDescent="0.25">
      <c r="A67" s="32" t="s">
        <v>663</v>
      </c>
      <c r="B67" s="32" t="str">
        <f>"🌱 CUPRESSOCYPARIS LEYLANDI CASTLEWELLAND GOLD"&amp;CHAR(10)&amp;""&amp;CHAR(10)&amp;""&amp;"📏 "&amp;SUBSTITUTE(TRIM(Hoja1!A221),"  "," ")&amp;CHAR(10)&amp;"💰 "&amp;IFERROR(IF(Hoja1!D221="","",IF(MOD(Hoja1!D221,1)=0,DOLLAR(Hoja1!D221,0),DOLLAR(Hoja1!D221,2))),"")&amp;CHAR(10)&amp;CHAR(10)&amp;"📏 "&amp;SUBSTITUTE(TRIM(Hoja1!A222),"  "," ")&amp;CHAR(10)&amp;"💰 "&amp;IFERROR(IF(Hoja1!D222="","",IF(MOD(Hoja1!D222,1)=0,DOLLAR(Hoja1!D222,0),DOLLAR(Hoja1!D222,2))),"")</f>
        <v>🌱 CUPRESSOCYPARIS LEYLANDI CASTLEWELLAND GOLD
📏 100-120cm
💰 $ 39.072
📏 120-150cm
💰 $ 52.000</v>
      </c>
    </row>
    <row r="68" spans="1:2" ht="120" customHeight="1" x14ac:dyDescent="0.25">
      <c r="A68" s="32" t="s">
        <v>664</v>
      </c>
      <c r="B68" s="32" t="str">
        <f>"🌱 CUPRESSUS SEMPERVIRENS STRICTA (CIPRES PIRAMIDAL)"&amp;CHAR(10)&amp;""&amp;CHAR(10)&amp;""&amp;"📏 "&amp;SUBSTITUTE(TRIM(Hoja1!A224),"  "," ")&amp;CHAR(10)&amp;"💰 "&amp;IFERROR(IF(Hoja1!D224="","",IF(MOD(Hoja1!D224,1)=0,DOLLAR(Hoja1!D224,0),DOLLAR(Hoja1!D224,2))),"")&amp;IF(Hoja1!E224="","", " — "&amp;TRIM(Hoja1!E224))&amp;CHAR(10)&amp;CHAR(10)&amp;"📏 "&amp;SUBSTITUTE(TRIM(Hoja1!A225),"  "," ")&amp;CHAR(10)&amp;"💰 "&amp;IFERROR(IF(Hoja1!D225="","",IF(MOD(Hoja1!D225,1)=0,DOLLAR(Hoja1!D225,0),DOLLAR(Hoja1!D225,2))),"")&amp;CHAR(10)&amp;CHAR(10)&amp;"📏 "&amp;SUBSTITUTE(TRIM(Hoja1!A226),"  "," ")&amp;CHAR(10)&amp;"💰 "&amp;IFERROR(IF(Hoja1!D226="","",IF(MOD(Hoja1!D226,1)=0,DOLLAR(Hoja1!D226,0),DOLLAR(Hoja1!D226,2))),"")&amp;CHAR(10)&amp;CHAR(10)&amp;"📏 "&amp;SUBSTITUTE(TRIM(Hoja1!A227),"  "," ")&amp;CHAR(10)&amp;"💰 "&amp;IFERROR(IF(Hoja1!D227="","",IF(MOD(Hoja1!D227,1)=0,DOLLAR(Hoja1!D227,0),DOLLAR(Hoja1!D227,2))),"")&amp;IF(Hoja1!E227="","", " — "&amp;TRIM(Hoja1!E227))</f>
        <v>🌱 CUPRESSUS SEMPERVIRENS STRICTA (CIPRES PIRAMIDAL)
📏 130-150 cm. E. 10 lts
💰 $ 22.943,70 — 
📏 150-180cm E. 10lts
💰 $ 27.000
📏 180- 210cm E. 10lts
💰 $ 48.000
📏 180-210cm OFERTA COMPRANO 10 UNIDADES
💰 $ 47.000 — c/u</v>
      </c>
    </row>
    <row r="69" spans="1:2" ht="120" customHeight="1" x14ac:dyDescent="0.25">
      <c r="A69" s="32" t="s">
        <v>665</v>
      </c>
      <c r="B69" s="32" t="str">
        <f>"🌱 CYDONIA JAPÓNICA (CHAENOMELES LAGENARIA)"&amp;CHAR(10)&amp;""&amp;CHAR(10)&amp;""&amp;"🌱 "&amp;SUBSTITUTE(TRIM(Hoja1!A229),"  "," ")&amp;CHAR(10)&amp;"💰 "&amp;IFERROR(IF(Hoja1!D229="","",IF(MOD(Hoja1!D229,1)=0,DOLLAR(Hoja1!D229,0),DOLLAR(Hoja1!D229,2))),"")&amp;IF(Hoja1!E229="","", " — "&amp;TRIM(Hoja1!E229))&amp;CHAR(10)&amp;CHAR(10)&amp;"🌱 "&amp;SUBSTITUTE(TRIM(Hoja1!A230),"  "," ")&amp;CHAR(10)&amp;"💰 "&amp;IFERROR(IF(Hoja1!D230="","",IF(MOD(Hoja1!D230,1)=0,DOLLAR(Hoja1!D230,0),DOLLAR(Hoja1!D230,2))),"")&amp;IF(Hoja1!E230="","", " — "&amp;TRIM(Hoja1!E230))</f>
        <v>🌱 CYDONIA JAPÓNICA (CHAENOMELES LAGENARIA)
🌱 flores color blanco, matizado, rojo y rosado E. 4 lts
💰 $ 12.232 — s/stock
🌱 flores color blanco, matizado, rojo y rosado E. 10 lts
💰 $ 27.000 — s/stock</v>
      </c>
    </row>
    <row r="70" spans="1:2" ht="120" customHeight="1" x14ac:dyDescent="0.25">
      <c r="A70" s="32" t="s">
        <v>666</v>
      </c>
      <c r="B70" s="32" t="str">
        <f>"🌱 DIANELLA VARIEGATA"&amp;CHAR(10)&amp;""&amp;CHAR(10)&amp;""&amp;"🌱 "&amp;SUBSTITUTE(TRIM(Hoja1!A232),"  "," ")&amp;CHAR(10)&amp;"💰 "&amp;IFERROR(IF(Hoja1!D232="","",IF(MOD(Hoja1!D232,1)=0,DOLLAR(Hoja1!D232,0),DOLLAR(Hoja1!D232,2))),"")&amp;CHAR(10)&amp;CHAR(10)&amp;"🌱 "&amp;SUBSTITUTE(TRIM(Hoja1!A233),"  "," ")&amp;CHAR(10)&amp;"💰 "&amp;IFERROR(IF(Hoja1!D233="","",IF(MOD(Hoja1!D233,1)=0,DOLLAR(Hoja1!D233,0),DOLLAR(Hoja1!D233,2))),"")</f>
        <v>🌱 DIANELLA VARIEGATA
🌱 . E. 4 lts
💰 $ 12.876
🌱 E. 10 lts.
💰 $ 25.000</v>
      </c>
    </row>
    <row r="71" spans="1:2" ht="120" customHeight="1" x14ac:dyDescent="0.25">
      <c r="A71" s="32" t="s">
        <v>667</v>
      </c>
      <c r="B71" s="32" t="str">
        <f>"🌱 DIETES BRASILERO, GRANDIFLORA"&amp;CHAR(10)&amp;""&amp;CHAR(10)&amp;""&amp;"🌱 "&amp;SUBSTITUTE(TRIM(Hoja1!A235),"  "," ")&amp;CHAR(10)&amp;"💰 "&amp;IFERROR(IF(Hoja1!D235="","",IF(MOD(Hoja1!D235,1)=0,DOLLAR(Hoja1!D235,0),DOLLAR(Hoja1!D235,2))),"")&amp;CHAR(10)&amp;CHAR(10)&amp;"🌱 "&amp;SUBSTITUTE(TRIM(Hoja1!A236),"  "," ")&amp;CHAR(10)&amp;"💰 "&amp;IFERROR(IF(Hoja1!D236="","",IF(MOD(Hoja1!D236,1)=0,DOLLAR(Hoja1!D236,0),DOLLAR(Hoja1!D236,2))),"")&amp;IF(Hoja1!E236="","", " — "&amp;TRIM(Hoja1!E236))</f>
        <v>🌱 DIETES BRASILERO, GRANDIFLORA
🌱 E. 4 lts.
💰 $ 9.900
🌱 OFERTA X 10 UNIDADES
💰 $ 9.500 — c/u</v>
      </c>
    </row>
    <row r="72" spans="1:2" ht="120" customHeight="1" x14ac:dyDescent="0.25">
      <c r="A72" s="32" t="s">
        <v>668</v>
      </c>
      <c r="B72" s="32" t="str">
        <f>"🌱 DODONEA VISCOSA PÚRPURA"&amp;CHAR(10)&amp;""&amp;CHAR(10)&amp;""&amp;"📏 "&amp;SUBSTITUTE(TRIM(Hoja1!A238),"  "," ")&amp;CHAR(10)&amp;"💰 "&amp;IFERROR(IF(Hoja1!D238="","",IF(MOD(Hoja1!D238,1)=0,DOLLAR(Hoja1!D238,0),DOLLAR(Hoja1!D238,2))),"")&amp;CHAR(10)&amp;CHAR(10)&amp;"🌱 "&amp;SUBSTITUTE(TRIM(Hoja1!A239),"  "," ")&amp;CHAR(10)&amp;"💰 "&amp;IFERROR(IF(Hoja1!D239="","",IF(MOD(Hoja1!D239,1)=0,DOLLAR(Hoja1!D239,0),DOLLAR(Hoja1!D239,2))),"")&amp;CHAR(10)&amp;CHAR(10)&amp;"🌱 "&amp;SUBSTITUTE(TRIM(Hoja1!A240),"  "," ")&amp;CHAR(10)&amp;"💰 "&amp;IFERROR(IF(Hoja1!D240="","",IF(MOD(Hoja1!D240,1)=0,DOLLAR(Hoja1!D240,0),DOLLAR(Hoja1!D240,2))),"")</f>
        <v>🌱 DODONEA VISCOSA PÚRPURA
📏 E. 4 lts 80cm
💰 $ 12.232
🌱 E. 10 lts
💰 $ 27.000
🌱 E. 20lts
💰 $ 49.000</v>
      </c>
    </row>
    <row r="73" spans="1:2" ht="120" customHeight="1" x14ac:dyDescent="0.25">
      <c r="A73" s="32" t="s">
        <v>669</v>
      </c>
      <c r="B73" s="32" t="str">
        <f>"🌱 DRACENA INDIVISA (CORDYLINE AUSTRALIS)"&amp;CHAR(10)&amp;""&amp;CHAR(10)&amp;""&amp;"🌱 "&amp;SUBSTITUTE(TRIM(Hoja1!A242),"  "," ")&amp;CHAR(10)&amp;"💰 "&amp;IFERROR(IF(Hoja1!D242="","",IF(MOD(Hoja1!D242,1)=0,DOLLAR(Hoja1!D242,0),DOLLAR(Hoja1!D242,2))),"")&amp;CHAR(10)&amp;CHAR(10)&amp;"🌱 "&amp;SUBSTITUTE(TRIM(Hoja1!A243),"  "," ")&amp;CHAR(10)&amp;"💰 "&amp;IFERROR(IF(Hoja1!D243="","",IF(MOD(Hoja1!D243,1)=0,DOLLAR(Hoja1!D243,0),DOLLAR(Hoja1!D243,2))),"")&amp;CHAR(10)&amp;CHAR(10)&amp;"🌱 "&amp;SUBSTITUTE(TRIM(Hoja1!A244),"  "," ")&amp;CHAR(10)&amp;"💰 "&amp;IFERROR(IF(Hoja1!D244="","",IF(MOD(Hoja1!D244,1)=0,DOLLAR(Hoja1!D244,0),DOLLAR(Hoja1!D244,2))),"")</f>
        <v>🌱 DRACENA INDIVISA (CORDYLINE AUSTRALIS)
🌱 E. 4 lts
💰 $ 12.232
🌱 E. 10 lts
💰 $ 27.000
🌱 E. 20 lts
💰 $ 49.000</v>
      </c>
    </row>
    <row r="74" spans="1:2" ht="120" customHeight="1" x14ac:dyDescent="0.25">
      <c r="A74" s="32" t="s">
        <v>670</v>
      </c>
      <c r="B74" s="32" t="str">
        <f>"🌱 DRACENA RUBRA (CORDYLINI AUSTRALIS RUBRA)"&amp;CHAR(10)&amp;""&amp;CHAR(10)&amp;""&amp;"🌱 "&amp;SUBSTITUTE(TRIM(Hoja1!A246),"  "," ")&amp;CHAR(10)&amp;"💰 "&amp;IFERROR(IF(Hoja1!D246="","",IF(MOD(Hoja1!D246,1)=0,DOLLAR(Hoja1!D246,0),DOLLAR(Hoja1!D246,2))),"")&amp;CHAR(10)&amp;CHAR(10)&amp;"🌱 "&amp;SUBSTITUTE(TRIM(Hoja1!A247),"  "," ")&amp;CHAR(10)&amp;"💰 "&amp;IFERROR(IF(Hoja1!D247="","",IF(MOD(Hoja1!D247,1)=0,DOLLAR(Hoja1!D247,0),DOLLAR(Hoja1!D247,2))),"")</f>
        <v>🌱 DRACENA RUBRA (CORDYLINI AUSTRALIS RUBRA)
🌱 E. 4 lts
💰 $ 16.095
🌱 E. 10 lts.
💰 $ 32.190</v>
      </c>
    </row>
    <row r="75" spans="1:2" ht="120" customHeight="1" x14ac:dyDescent="0.25">
      <c r="A75" s="32" t="s">
        <v>671</v>
      </c>
      <c r="B75" s="32" t="str">
        <f>"🌱 DURANTA REPENS AUREA"&amp;CHAR(10)&amp;""&amp;CHAR(10)&amp;""&amp;"🌱 "&amp;SUBSTITUTE(TRIM(Hoja1!A249),"  "," ")&amp;CHAR(10)&amp;"💰 "&amp;IFERROR(IF(Hoja1!D249="","",IF(MOD(Hoja1!D249,1)=0,DOLLAR(Hoja1!D249,0),DOLLAR(Hoja1!D249,2))),"")&amp;IF(Hoja1!E249="","", " — "&amp;TRIM(Hoja1!E249))&amp;CHAR(10)&amp;CHAR(10)&amp;"🌱 "&amp;SUBSTITUTE(TRIM(Hoja1!A250),"  "," ")&amp;CHAR(10)&amp;"💰 "&amp;IFERROR(IF(Hoja1!D250="","",IF(MOD(Hoja1!D250,1)=0,DOLLAR(Hoja1!D250,0),DOLLAR(Hoja1!D250,2))),"")&amp;CHAR(10)&amp;CHAR(10)&amp;"🌱 "&amp;SUBSTITUTE(TRIM(Hoja1!A251),"  "," ")&amp;CHAR(10)&amp;"💰 "&amp;IFERROR(IF(Hoja1!D251="","",IF(MOD(Hoja1!D251,1)=0,DOLLAR(Hoja1!D251,0),DOLLAR(Hoja1!D251,2))),"")&amp;IF(Hoja1!E251="","", " — "&amp;TRIM(Hoja1!E251))</f>
        <v>🌱 DURANTA REPENS AUREA
🌱 E. 4 lts
💰 $ 12.232 — s/stock
🌱 flor lila E. 10 lts
💰 $ 27.000
🌱 OFERTA COMPRANDO 10 UNIDADES 10LTS
💰 $ 25.000 — c/u</v>
      </c>
    </row>
    <row r="76" spans="1:2" ht="120" customHeight="1" x14ac:dyDescent="0.25">
      <c r="A76" s="32" t="s">
        <v>672</v>
      </c>
      <c r="B76" s="32" t="str">
        <f>"🌱 ELEAGNUS AUREA"&amp;CHAR(10)&amp;""&amp;CHAR(10)&amp;""&amp;"🌱 "&amp;SUBSTITUTE(TRIM(Hoja1!A253),"  "," ")&amp;CHAR(10)&amp;"💰 "&amp;IFERROR(IF(Hoja1!D253="","",IF(MOD(Hoja1!D253,1)=0,DOLLAR(Hoja1!D253,0),DOLLAR(Hoja1!D253,2))),"")&amp;IF(Hoja1!E253="","", " — "&amp;TRIM(Hoja1!E253))&amp;CHAR(10)&amp;CHAR(10)&amp;"🌱 "&amp;SUBSTITUTE(TRIM(Hoja1!A254),"  "," ")&amp;CHAR(10)&amp;"💰 "&amp;IFERROR(IF(Hoja1!D254="","",IF(MOD(Hoja1!D254,1)=0,DOLLAR(Hoja1!D254,0),DOLLAR(Hoja1!D254,2))),"")&amp;CHAR(10)&amp;CHAR(10)&amp;"🌱 "&amp;SUBSTITUTE(TRIM(Hoja1!A255),"  "," ")&amp;CHAR(10)&amp;"💰 "&amp;IFERROR(IF(Hoja1!D255="","",IF(MOD(Hoja1!D255,1)=0,DOLLAR(Hoja1!D255,0),DOLLAR(Hoja1!D255,2))),"")</f>
        <v>🌱 ELEAGNUS AUREA
🌱 E. 4 lts
💰 $ 12.232 — 
🌱 E. 10 lts
💰 $ 27.000
🌱 E. 15 lts
💰 $ 36.500</v>
      </c>
    </row>
    <row r="77" spans="1:2" ht="120" customHeight="1" x14ac:dyDescent="0.25">
      <c r="A77" s="32" t="s">
        <v>226</v>
      </c>
      <c r="B77" s="32" t="str">
        <f>"🌱 ELEAGNUS EBBINGEI (VERDE)"&amp;CHAR(10)&amp;""&amp;CHAR(10)&amp;""&amp;"🌱 "&amp;SUBSTITUTE(TRIM(Hoja1!A257),"  "," ")&amp;CHAR(10)&amp;"💰 "&amp;IFERROR(IF(Hoja1!D257="","",IF(MOD(Hoja1!D257,1)=0,DOLLAR(Hoja1!D257,0),DOLLAR(Hoja1!D257,2))),"")&amp;CHAR(10)&amp;CHAR(10)&amp;"🌱 "&amp;SUBSTITUTE(TRIM(Hoja1!A258),"  "," ")&amp;CHAR(10)&amp;"💰 "&amp;IFERROR(IF(Hoja1!D258="","",IF(MOD(Hoja1!D258,1)=0,DOLLAR(Hoja1!D258,0),DOLLAR(Hoja1!D258,2))),"")&amp;CHAR(10)&amp;CHAR(10)&amp;"🌱 "&amp;SUBSTITUTE(TRIM(Hoja1!A259),"  "," ")&amp;CHAR(10)&amp;"💰 "&amp;IFERROR(IF(Hoja1!D259="","",IF(MOD(Hoja1!D259,1)=0,DOLLAR(Hoja1!D259,0),DOLLAR(Hoja1!D259,2))),"")</f>
        <v>🌱 ELEAGNUS EBBINGEI (VERDE)
🌱 E. 4lts
💰 $ 12.232
🌱 E. 10lts
💰 $ 27.000
🌱 E 15lts
💰 $ 36.500</v>
      </c>
    </row>
    <row r="78" spans="1:2" ht="120" customHeight="1" x14ac:dyDescent="0.25">
      <c r="A78" s="32" t="s">
        <v>673</v>
      </c>
      <c r="B78" s="32" t="str">
        <f>"🌱 ENAMORADA DEL MURO (FICUS REPENS)"&amp;CHAR(10)&amp;""&amp;CHAR(10)&amp;""&amp;"📏 "&amp;SUBSTITUTE(TRIM(Hoja1!A261),"  "," ")&amp;CHAR(10)&amp;"💰 "&amp;IFERROR(IF(Hoja1!D261="","",IF(MOD(Hoja1!D261,1)=0,DOLLAR(Hoja1!D261,0),DOLLAR(Hoja1!D261,2))),"")</f>
        <v>🌱 ENAMORADA DEL MURO (FICUS REPENS)
📏 E. 4 lts 40-60cm
💰 $ 12.232</v>
      </c>
    </row>
    <row r="79" spans="1:2" ht="120" customHeight="1" x14ac:dyDescent="0.25">
      <c r="A79" s="32" t="s">
        <v>674</v>
      </c>
      <c r="B79" s="32" t="str">
        <f>"🌱 EQUISETUM"&amp;CHAR(10)&amp;""&amp;CHAR(10)&amp;""&amp;"🌱 "&amp;SUBSTITUTE(TRIM(Hoja1!A263),"  "," ")&amp;CHAR(10)&amp;"💰 "&amp;IFERROR(IF(Hoja1!D263="","",IF(MOD(Hoja1!D263,1)=0,DOLLAR(Hoja1!D263,0),DOLLAR(Hoja1!D263,2))),"")&amp;CHAR(10)&amp;CHAR(10)&amp;"🌱 "&amp;SUBSTITUTE(TRIM(Hoja1!A264),"  "," ")&amp;CHAR(10)&amp;"💰 "&amp;IFERROR(IF(Hoja1!D264="","",IF(MOD(Hoja1!D264,1)=0,DOLLAR(Hoja1!D264,0),DOLLAR(Hoja1!D264,2))),"")&amp;IF(Hoja1!E264="","", " — "&amp;TRIM(Hoja1!E264))</f>
        <v>🌱 EQUISETUM
🌱 E. 4 lts
💰 $ 8.900
🌱 E. 4lts comprando 10 unidades
💰 $ 8.500 — c/u</v>
      </c>
    </row>
    <row r="80" spans="1:2" ht="120" customHeight="1" x14ac:dyDescent="0.25">
      <c r="A80" s="32" t="s">
        <v>675</v>
      </c>
      <c r="B80" s="32" t="str">
        <f>"🌱 EUCALYPTUS CINEREA"&amp;CHAR(10)&amp;""&amp;CHAR(10)&amp;""&amp;"📏 "&amp;SUBSTITUTE(TRIM(Hoja1!A266),"  "," ")&amp;CHAR(10)&amp;"💰 "&amp;IFERROR(IF(Hoja1!D266="","",IF(MOD(Hoja1!D266,1)=0,DOLLAR(Hoja1!D266,0),DOLLAR(Hoja1!D266,2))),"")&amp;IF(Hoja1!E266="","", " — "&amp;TRIM(Hoja1!E266))&amp;CHAR(10)&amp;CHAR(10)&amp;"📏 "&amp;SUBSTITUTE(TRIM(Hoja1!A267),"  "," ")&amp;CHAR(10)&amp;"💰 "&amp;IFERROR(IF(Hoja1!D267="","",IF(MOD(Hoja1!D267,1)=0,DOLLAR(Hoja1!D267,0),DOLLAR(Hoja1!D267,2))),"")&amp;IF(Hoja1!E267="","", " — "&amp;TRIM(Hoja1!E267))&amp;CHAR(10)&amp;CHAR(10)&amp;"📏 "&amp;SUBSTITUTE(TRIM(Hoja1!A268),"  "," ")&amp;CHAR(10)&amp;"💰 "&amp;IFERROR(IF(Hoja1!D268="","",IF(MOD(Hoja1!D268,1)=0,DOLLAR(Hoja1!D268,0),DOLLAR(Hoja1!D268,2))),"")&amp;IF(Hoja1!E268="","", " — "&amp;TRIM(Hoja1!E268))</f>
        <v>🌱 EUCALYPTUS CINEREA
📏 100-120 cm. E. 4 lts
💰 $ 12.265 — s/stock
📏 120-150 cm E. 4 lts
💰 $ 19.000 — 
📏 150-180 cm E. 4 lts
💰 $ 32.467,50 — s/stock</v>
      </c>
    </row>
    <row r="81" spans="1:2" ht="120" customHeight="1" x14ac:dyDescent="0.25">
      <c r="A81" s="32" t="s">
        <v>676</v>
      </c>
      <c r="B81" s="32" t="str">
        <f>"🌱 EUGENIA MYRTIFOLIA"&amp;CHAR(10)&amp;""&amp;CHAR(10)&amp;""&amp;"📏 "&amp;SUBSTITUTE(TRIM(Hoja1!A270),"  "," ")&amp;CHAR(10)&amp;"💰 "&amp;IFERROR(IF(Hoja1!D270="","",IF(MOD(Hoja1!D270,1)=0,DOLLAR(Hoja1!D270,0),DOLLAR(Hoja1!D270,2))),"")&amp;IF(Hoja1!E270="","", " — "&amp;TRIM(Hoja1!E270))&amp;CHAR(10)&amp;CHAR(10)&amp;"📏 "&amp;SUBSTITUTE(TRIM(Hoja1!A271),"  "," ")&amp;CHAR(10)&amp;"💰 "&amp;IFERROR(IF(Hoja1!D271="","",IF(MOD(Hoja1!D271,1)=0,DOLLAR(Hoja1!D271,0),DOLLAR(Hoja1!D271,2))),"")&amp;CHAR(10)&amp;CHAR(10)&amp;"📏 "&amp;SUBSTITUTE(TRIM(Hoja1!A272),"  "," ")&amp;CHAR(10)&amp;"💰 "&amp;IFERROR(IF(Hoja1!D272="","",IF(MOD(Hoja1!D272,1)=0,DOLLAR(Hoja1!D272,0),DOLLAR(Hoja1!D272,2))),"")&amp;IF(Hoja1!E272="","", " — "&amp;TRIM(Hoja1!E272))</f>
        <v>🌱 EUGENIA MYRTIFOLIA
📏 150-180cm OFERTA
💰 $ 25.000 — c/u
📏 180-210cm Oferta
💰 $ 28.715,70
📏 220-240cm
💰 $ 59.163 — s/stock</v>
      </c>
    </row>
    <row r="82" spans="1:2" ht="120" customHeight="1" x14ac:dyDescent="0.25">
      <c r="A82" s="32" t="s">
        <v>243</v>
      </c>
      <c r="B82" s="32" t="str">
        <f>"🌱 EURYOPS"&amp;CHAR(10)&amp;""&amp;CHAR(10)&amp;""&amp;"🌱 "&amp;SUBSTITUTE(TRIM(Hoja1!A274),"  "," ")&amp;CHAR(10)&amp;"💰 "&amp;IFERROR(IF(Hoja1!D274="","",IF(MOD(Hoja1!D274,1)=0,DOLLAR(Hoja1!D274,0),DOLLAR(Hoja1!D274,2))),"")&amp;IF(Hoja1!E274="","", " — "&amp;TRIM(Hoja1!E274))&amp;CHAR(10)&amp;CHAR(10)&amp;"🌱 "&amp;SUBSTITUTE(TRIM(Hoja1!A275),"  "," ")&amp;CHAR(10)&amp;"💰 "&amp;IFERROR(IF(Hoja1!D275="","",IF(MOD(Hoja1!D275,1)=0,DOLLAR(Hoja1!D275,0),DOLLAR(Hoja1!D275,2))),"")&amp;IF(Hoja1!E275="","", " — "&amp;TRIM(Hoja1!E275))</f>
        <v>🌱 EURYOPS
🌱 E. 4lts
💰 $ 8.900 — 
🌱 oferta comprando 10 unidades
💰 $ 8.500 — c/u</v>
      </c>
    </row>
    <row r="83" spans="1:2" ht="120" customHeight="1" x14ac:dyDescent="0.25">
      <c r="A83" s="32" t="s">
        <v>677</v>
      </c>
      <c r="B83" s="32" t="str">
        <f>"🌱 EVONYMUS MACULATA AUREA, JAPONICA ARGENTEA Y JAPONICO AUREA"&amp;CHAR(10)&amp;""&amp;CHAR(10)&amp;""&amp;"🌱 "&amp;SUBSTITUTE(TRIM(Hoja1!A277),"  "," ")&amp;CHAR(10)&amp;"💰 "&amp;IFERROR(IF(Hoja1!D277="","",IF(MOD(Hoja1!D277,1)=0,DOLLAR(Hoja1!D277,0),DOLLAR(Hoja1!D277,2))),"")&amp;CHAR(10)&amp;CHAR(10)&amp;"🌱 "&amp;SUBSTITUTE(TRIM(Hoja1!A278),"  "," ")&amp;CHAR(10)&amp;"💰 "&amp;IFERROR(IF(Hoja1!D278="","",IF(MOD(Hoja1!D278,1)=0,DOLLAR(Hoja1!D278,0),DOLLAR(Hoja1!D278,2))),"")</f>
        <v>🌱 EVONYMUS MACULATA AUREA, JAPONICA ARGENTEA Y JAPONICO AUREA
🌱 E. 4 lts
💰 $ 12.232
🌱 E. 10 lts
💰 $ 27.000</v>
      </c>
    </row>
    <row r="84" spans="1:2" ht="120" customHeight="1" x14ac:dyDescent="0.25">
      <c r="A84" s="32" t="s">
        <v>678</v>
      </c>
      <c r="B84" s="32" t="str">
        <f>"🌱 FLOR DE COHETE (KNIPHOFIA UVARIA)"&amp;CHAR(10)&amp;""&amp;CHAR(10)&amp;""&amp;"🌱 "&amp;SUBSTITUTE(TRIM(Hoja1!A280),"  "," ")&amp;CHAR(10)&amp;"💰 "&amp;IFERROR(IF(Hoja1!D280="","",IF(MOD(Hoja1!D280,1)=0,DOLLAR(Hoja1!D280,0),DOLLAR(Hoja1!D280,2))),"")</f>
        <v>🌱 FLOR DE COHETE (KNIPHOFIA UVARIA)
🌱 E. 4 lts
💰 $ 12.232</v>
      </c>
    </row>
    <row r="85" spans="1:2" ht="120" customHeight="1" x14ac:dyDescent="0.25">
      <c r="A85" s="32" t="s">
        <v>679</v>
      </c>
      <c r="B85" s="32" t="str">
        <f>"🌱 FRESNO AMERICANO (FRAXINUS AMERICANO)"&amp;CHAR(10)&amp;""&amp;CHAR(10)&amp;""&amp;"📏 "&amp;SUBSTITUTE(TRIM(Hoja1!A282),"  "," ")&amp;CHAR(10)&amp;"💰 "&amp;IFERROR(IF(Hoja1!D282="","",IF(MOD(Hoja1!D282,1)=0,DOLLAR(Hoja1!D282,0),DOLLAR(Hoja1!D282,2))),"")&amp;CHAR(10)&amp;CHAR(10)&amp;"📏 "&amp;SUBSTITUTE(TRIM(Hoja1!A283),"  "," ")&amp;CHAR(10)&amp;"💰 "&amp;IFERROR(IF(Hoja1!D283="","",IF(MOD(Hoja1!D283,1)=0,DOLLAR(Hoja1!D283,0),DOLLAR(Hoja1!D283,2))),"")&amp;CHAR(10)&amp;CHAR(10)&amp;"📏 "&amp;SUBSTITUTE(TRIM(Hoja1!A284),"  "," ")&amp;CHAR(10)&amp;"💰 "&amp;IFERROR(IF(Hoja1!D284="","",IF(MOD(Hoja1!D284,1)=0,DOLLAR(Hoja1!D284,0),DOLLAR(Hoja1!D284,2))),"")&amp;CHAR(10)&amp;CHAR(10)&amp;"📏 "&amp;SUBSTITUTE(TRIM(Hoja1!A285),"  "," ")&amp;CHAR(10)&amp;"💰 "&amp;IFERROR(IF(Hoja1!D285="","",IF(MOD(Hoja1!D285,1)=0,DOLLAR(Hoja1!D285,0),DOLLAR(Hoja1!D285,2))),"")</f>
        <v>🌱 FRESNO AMERICANO (FRAXINUS AMERICANO)
📏 con copa, 4-6 cmde circunsferencia de tronco, mas de 200cm de altura. . E. 10 lts.
💰 $ 25.000
📏 con copa, 6-8 cm. E. 15 lts.
💰 $ 40.000
📏 con copa, 8-10cm E. 20 lts
💰 $ 55.000
📏 con copa, 10-12 cm. E. 30 lts.
💰 $ 75.000</v>
      </c>
    </row>
    <row r="86" spans="1:2" ht="120" customHeight="1" x14ac:dyDescent="0.25">
      <c r="A86" s="32" t="s">
        <v>680</v>
      </c>
      <c r="B86" s="32" t="str">
        <f>"🌱 FRESNO DORADO (FRAXINUS EXCELSIOR AUREA)"&amp;CHAR(10)&amp;""&amp;CHAR(10)&amp;""&amp;"📏 "&amp;SUBSTITUTE(TRIM(Hoja1!A287),"  "," ")&amp;CHAR(10)&amp;"💰 "&amp;IFERROR(IF(Hoja1!D287="","",IF(MOD(Hoja1!D287,1)=0,DOLLAR(Hoja1!D287,0),DOLLAR(Hoja1!D287,2))),"")&amp;CHAR(10)&amp;CHAR(10)&amp;"📏 "&amp;SUBSTITUTE(TRIM(Hoja1!A288),"  "," ")&amp;CHAR(10)&amp;"💰 "&amp;IFERROR(IF(Hoja1!D288="","",IF(MOD(Hoja1!D288,1)=0,DOLLAR(Hoja1!D288,0),DOLLAR(Hoja1!D288,2))),"")</f>
        <v>🌱 FRESNO DORADO (FRAXINUS EXCELSIOR AUREA)
📏 con copa , 6-8 cm de cicunferencia. E15 lts
💰 $ 40.000
📏 con copa, 8-10 cm de circunsferencia de tronco, miden mas de 200cm altura.
💰 $ 63.000</v>
      </c>
    </row>
    <row r="87" spans="1:2" ht="120" customHeight="1" x14ac:dyDescent="0.25">
      <c r="A87" s="32" t="s">
        <v>681</v>
      </c>
      <c r="B87" s="32" t="str">
        <f>"🌱 FRESNO RUBRA (FRAXINUS ANGUSTIFOLIA RAYWOOD)"&amp;CHAR(10)&amp;""&amp;CHAR(10)&amp;""&amp;"📏 "&amp;SUBSTITUTE(TRIM(Hoja1!A290),"  "," ")&amp;CHAR(10)&amp;"💰 "&amp;IFERROR(IF(Hoja1!D290="","",IF(MOD(Hoja1!D290,1)=0,DOLLAR(Hoja1!D290,0),DOLLAR(Hoja1!D290,2))),"")&amp;CHAR(10)&amp;CHAR(10)&amp;"📏 "&amp;SUBSTITUTE(TRIM(Hoja1!A291),"  "," ")&amp;CHAR(10)&amp;"💰 "&amp;IFERROR(IF(Hoja1!D291="","",IF(MOD(Hoja1!D291,1)=0,DOLLAR(Hoja1!D291,0),DOLLAR(Hoja1!D291,2))),"")</f>
        <v>🌱 FRESNO RUBRA (FRAXINUS ANGUSTIFOLIA RAYWOOD)
📏 con copa, 6-8 cm de circunsferencia de tronco, miden mas de 200cm altura
💰 $ 50.000
📏 con copa, 8-10 cm. E. 20 lts.
💰 $ 67.000</v>
      </c>
    </row>
    <row r="88" spans="1:2" ht="120" customHeight="1" x14ac:dyDescent="0.25">
      <c r="A88" s="32" t="s">
        <v>682</v>
      </c>
      <c r="B88" s="32" t="str">
        <f>"🌱 GAURAS BLANCAS"&amp;CHAR(10)&amp;""&amp;CHAR(10)&amp;""&amp;"🌱 "&amp;SUBSTITUTE(TRIM(Hoja1!A293),"  "," ")&amp;CHAR(10)&amp;"💰 "&amp;IFERROR(IF(Hoja1!D293="","",IF(MOD(Hoja1!D293,1)=0,DOLLAR(Hoja1!D293,0),DOLLAR(Hoja1!D293,2))),"")</f>
        <v>🌱 GAURAS BLANCAS
🌱 E. 4lts
💰 $ 8.900</v>
      </c>
    </row>
    <row r="89" spans="1:2" ht="120" customHeight="1" x14ac:dyDescent="0.25">
      <c r="A89" s="32" t="s">
        <v>683</v>
      </c>
      <c r="B89" s="32" t="str">
        <f>"🌱 GINKGO BILOBA"&amp;CHAR(10)&amp;""&amp;CHAR(10)&amp;""&amp;"📏 "&amp;SUBSTITUTE(TRIM(Hoja1!A295),"  "," ")&amp;CHAR(10)&amp;"💰 "&amp;IFERROR(IF(Hoja1!D295="","",IF(MOD(Hoja1!D295,1)=0,DOLLAR(Hoja1!D295,0),DOLLAR(Hoja1!D295,2))),"")</f>
        <v>🌱 GINKGO BILOBA
📏 100-120 cm. 10 lts.
💰 $ 52.000</v>
      </c>
    </row>
    <row r="90" spans="1:2" ht="120" customHeight="1" x14ac:dyDescent="0.25">
      <c r="A90" s="32" t="s">
        <v>684</v>
      </c>
      <c r="B90" s="32" t="str">
        <f>"🌱 GLICINA (WISTERIA SINENSIS)"&amp;CHAR(10)&amp;""&amp;CHAR(10)&amp;""&amp;"📏 "&amp;SUBSTITUTE(TRIM(Hoja1!A297),"  "," ")&amp;CHAR(10)&amp;"💰 "&amp;IFERROR(IF(Hoja1!D297="","",IF(MOD(Hoja1!D297,1)=0,DOLLAR(Hoja1!D297,0),DOLLAR(Hoja1!D297,2))),"")</f>
        <v>🌱 GLICINA (WISTERIA SINENSIS)
📏 E. 4 lts 120cm
💰 $ 12.232</v>
      </c>
    </row>
    <row r="91" spans="1:2" ht="120" customHeight="1" x14ac:dyDescent="0.25">
      <c r="A91" s="32" t="s">
        <v>685</v>
      </c>
      <c r="B91" s="32" t="str">
        <f>"🌱 GREVILLEA ROBUSTA (ROBLE SEDOSO)"&amp;CHAR(10)&amp;""&amp;CHAR(10)&amp;""&amp;"📏 "&amp;SUBSTITUTE(TRIM(Hoja1!A299),"  "," ")&amp;CHAR(10)&amp;"💰 "&amp;IFERROR(IF(Hoja1!D299="","",IF(MOD(Hoja1!D299,1)=0,DOLLAR(Hoja1!D299,0),DOLLAR(Hoja1!D299,2))),"")&amp;CHAR(10)&amp;CHAR(10)&amp;"📏 "&amp;SUBSTITUTE(TRIM(Hoja1!A300),"  "," ")&amp;CHAR(10)&amp;"💰 "&amp;IFERROR(IF(Hoja1!D300="","",IF(MOD(Hoja1!D300,1)=0,DOLLAR(Hoja1!D300,0),DOLLAR(Hoja1!D300,2))),"")</f>
        <v>🌱 GREVILLEA ROBUSTA (ROBLE SEDOSO)
📏 180-210cm E. 10lts
💰 $ 40.000
📏 250-300cm E. 20lts
💰 $ 80.000</v>
      </c>
    </row>
    <row r="92" spans="1:2" ht="120" customHeight="1" x14ac:dyDescent="0.25">
      <c r="A92" s="32" t="s">
        <v>686</v>
      </c>
      <c r="B92" s="32" t="str">
        <f>"🌱 GUARAN AMARILLO (TECOMA STANS)"&amp;CHAR(10)&amp;""&amp;CHAR(10)&amp;""&amp;"📏 "&amp;SUBSTITUTE(TRIM(Hoja1!A302),"  "," ")&amp;CHAR(10)&amp;"💰 "&amp;IFERROR(IF(Hoja1!D302="","",IF(MOD(Hoja1!D302,1)=0,DOLLAR(Hoja1!D302,0),DOLLAR(Hoja1!D302,2))),"")&amp;IF(Hoja1!E302="","", " — "&amp;TRIM(Hoja1!E302))&amp;CHAR(10)&amp;CHAR(10)&amp;"📏 "&amp;SUBSTITUTE(TRIM(Hoja1!A303),"  "," ")&amp;CHAR(10)&amp;"💰 "&amp;IFERROR(IF(Hoja1!D303="","",IF(MOD(Hoja1!D303,1)=0,DOLLAR(Hoja1!D303,0),DOLLAR(Hoja1!D303,2))),"")</f>
        <v>🌱 GUARAN AMARILLO (TECOMA STANS)
📏 . E. 10 lts 180-210cm
💰 $ 40.000 — 
📏 E. 20 lts 210-250cm
💰 $ 75.000</v>
      </c>
    </row>
    <row r="93" spans="1:2" ht="120" customHeight="1" x14ac:dyDescent="0.25">
      <c r="A93" s="32" t="s">
        <v>687</v>
      </c>
      <c r="B93" s="32" t="str">
        <f>"🌱 HEMEROCALLIS (FLOR DE UN DIA)"&amp;CHAR(10)&amp;""&amp;CHAR(10)&amp;""&amp;"🌱 "&amp;SUBSTITUTE(TRIM(Hoja1!A305),"  "," ")&amp;CHAR(10)&amp;"💰 "&amp;IFERROR(IF(Hoja1!D305="","",IF(MOD(Hoja1!D305,1)=0,DOLLAR(Hoja1!D305,0),DOLLAR(Hoja1!D305,2))),"")&amp;CHAR(10)&amp;CHAR(10)&amp;"🌱 "&amp;SUBSTITUTE(TRIM(Hoja1!A306),"  "," ")&amp;CHAR(10)&amp;"💰 "&amp;IFERROR(IF(Hoja1!D306="","",IF(MOD(Hoja1!D306,1)=0,DOLLAR(Hoja1!D306,0),DOLLAR(Hoja1!D306,2))),"")&amp;CHAR(10)&amp;CHAR(10)&amp;"🌱 "&amp;SUBSTITUTE(TRIM(Hoja1!A307),"  "," ")&amp;CHAR(10)&amp;"💰 "&amp;IFERROR(IF(Hoja1!D307="","",IF(MOD(Hoja1!D307,1)=0,DOLLAR(Hoja1!D307,0),DOLLAR(Hoja1!D307,2))),"")&amp;IF(Hoja1!E307="","", " — "&amp;TRIM(Hoja1!E307))&amp;CHAR(10)&amp;CHAR(10)&amp;"🌱 "&amp;SUBSTITUTE(TRIM(Hoja1!A308),"  "," ")&amp;CHAR(10)&amp;"💰 "&amp;IFERROR(IF(Hoja1!D308="","",IF(MOD(Hoja1!D308,1)=0,DOLLAR(Hoja1!D308,0),DOLLAR(Hoja1!D308,2))),"")&amp;CHAR(10)&amp;CHAR(10)&amp;"📏 "&amp;SUBSTITUTE(TRIM(Hoja1!A309),"  "," ")&amp;CHAR(10)&amp;"💰 "&amp;IFERROR(IF(Hoja1!D309="","",IF(MOD(Hoja1!D309,1)=0,DOLLAR(Hoja1!D309,0),DOLLAR(Hoja1!D309,2))),"")&amp;CHAR(10)&amp;CHAR(10)&amp;"🌱 "&amp;SUBSTITUTE(TRIM(Hoja1!A310),"  "," ")&amp;CHAR(10)&amp;"💰 "&amp;IFERROR(IF(Hoja1!D310="","",IF(MOD(Hoja1!D310,1)=0,DOLLAR(Hoja1!D310,0),DOLLAR(Hoja1!D310,2))),"")&amp;IF(Hoja1!E310="","", " — "&amp;TRIM(Hoja1!E310))</f>
        <v>🌱 HEMEROCALLIS (FLOR DE UN DIA)
🌱 E. 4 lts color naranja
💰 $ 9.900
🌱 Hiedras verde (Hedera). Verdes, minimas y minimas alba.
💰 
🌱 E. 4 lts
💰 $ 18.741,02 — s/stock
🌱 Hibiscus
💰 
📏 x 4lts 50cm
💰 $ 12.232
🌱 OFERTA COMPRANDO X 10 UNIDADES
💰 $ 11.500 — c/u</v>
      </c>
    </row>
    <row r="94" spans="1:2" ht="120" customHeight="1" x14ac:dyDescent="0.25">
      <c r="A94" s="32" t="s">
        <v>688</v>
      </c>
      <c r="B94" s="32" t="str">
        <f>"🌱 HORTENSIA (HYDRANGEA MACROPHYLLA)"&amp;CHAR(10)&amp;""&amp;CHAR(10)&amp;""&amp;"🌱 "&amp;SUBSTITUTE(TRIM(Hoja1!A312),"  "," ")&amp;CHAR(10)&amp;"💰 "&amp;IFERROR(IF(Hoja1!D312="","",IF(MOD(Hoja1!D312,1)=0,DOLLAR(Hoja1!D312,0),DOLLAR(Hoja1!D312,2))),"")&amp;CHAR(10)&amp;CHAR(10)&amp;"🌱 "&amp;SUBSTITUTE(TRIM(Hoja1!A313),"  "," ")&amp;CHAR(10)&amp;"💰 "&amp;IFERROR(IF(Hoja1!D313="","",IF(MOD(Hoja1!D313,1)=0,DOLLAR(Hoja1!D313,0),DOLLAR(Hoja1!D313,2))),"")&amp;IF(Hoja1!E313="","", " — "&amp;TRIM(Hoja1!E313))</f>
        <v>🌱 HORTENSIA (HYDRANGEA MACROPHYLLA)
🌱 E. 10 lts flor azul
💰 $ 25.000
🌱 OFERTA X 10 UNIDADES
💰 $ 24.000 — c/u</v>
      </c>
    </row>
    <row r="95" spans="1:2" ht="120" customHeight="1" x14ac:dyDescent="0.25">
      <c r="A95" s="32" t="s">
        <v>689</v>
      </c>
      <c r="B95" s="32" t="str">
        <f>"🌱 HYPERICUM MOSERIANUM"&amp;CHAR(10)&amp;""&amp;CHAR(10)&amp;""&amp;"🌱 "&amp;SUBSTITUTE(TRIM(Hoja1!A315),"  "," ")&amp;CHAR(10)&amp;"💰 "&amp;IFERROR(IF(Hoja1!D315="","",IF(MOD(Hoja1!D315,1)=0,DOLLAR(Hoja1!D315,0),DOLLAR(Hoja1!D315,2))),"")</f>
        <v>🌱 HYPERICUM MOSERIANUM
🌱 E. 4 lts
💰 $ 12.232</v>
      </c>
    </row>
    <row r="96" spans="1:2" ht="120" customHeight="1" x14ac:dyDescent="0.25">
      <c r="A96" s="32" t="s">
        <v>690</v>
      </c>
      <c r="B96" s="32" t="str">
        <f>"🌱 IBIRA PITA (PELTOPHORUM DUBIUM)"&amp;CHAR(10)&amp;""&amp;CHAR(10)&amp;""&amp;"📏 "&amp;SUBSTITUTE(TRIM(Hoja1!A317),"  "," ")&amp;CHAR(10)&amp;"💰 "&amp;IFERROR(IF(Hoja1!D317="","",IF(MOD(Hoja1!D317,1)=0,DOLLAR(Hoja1!D317,0),DOLLAR(Hoja1!D317,2))),"")&amp;IF(Hoja1!E317="","", " — "&amp;TRIM(Hoja1!E317))&amp;CHAR(10)&amp;CHAR(10)&amp;"📏 "&amp;SUBSTITUTE(TRIM(Hoja1!A318),"  "," ")&amp;CHAR(10)&amp;"💰 "&amp;IFERROR(IF(Hoja1!D318="","",IF(MOD(Hoja1!D318,1)=0,DOLLAR(Hoja1!D318,0),DOLLAR(Hoja1!D318,2))),"")&amp;CHAR(10)&amp;CHAR(10)&amp;"📏 "&amp;SUBSTITUTE(TRIM(Hoja1!A319),"  "," ")&amp;CHAR(10)&amp;"💰 "&amp;IFERROR(IF(Hoja1!D319="","",IF(MOD(Hoja1!D319,1)=0,DOLLAR(Hoja1!D319,0),DOLLAR(Hoja1!D319,2))),"")</f>
        <v>🌱 IBIRA PITA (PELTOPHORUM DUBIUM)
📏 E. 4 lts 70-80cm
💰 $ 37.018,50 — s/stock
📏 E 10 lts. 170cm
💰 $ 49.000
📏 E 20 lts. 220cm
💰 $ 90.000</v>
      </c>
    </row>
    <row r="97" spans="1:2" ht="120" customHeight="1" x14ac:dyDescent="0.25">
      <c r="A97" s="32" t="s">
        <v>691</v>
      </c>
      <c r="B97" s="32" t="str">
        <f>"🌱 JACARANDA MIMOSIFOLIA"&amp;CHAR(10)&amp;""&amp;CHAR(10)&amp;""&amp;"📏 "&amp;SUBSTITUTE(TRIM(Hoja1!A321),"  "," ")&amp;CHAR(10)&amp;"💰 "&amp;IFERROR(IF(Hoja1!D321="","",IF(MOD(Hoja1!D321,1)=0,DOLLAR(Hoja1!D321,0),DOLLAR(Hoja1!D321,2))),"")&amp;CHAR(10)&amp;CHAR(10)&amp;"📏 "&amp;SUBSTITUTE(TRIM(Hoja1!A322),"  "," ")&amp;CHAR(10)&amp;"💰 "&amp;IFERROR(IF(Hoja1!D322="","",IF(MOD(Hoja1!D322,1)=0,DOLLAR(Hoja1!D322,0),DOLLAR(Hoja1!D322,2))),"")&amp;CHAR(10)&amp;CHAR(10)&amp;"📏 "&amp;SUBSTITUTE(TRIM(Hoja1!A323),"  "," ")&amp;CHAR(10)&amp;"💰 "&amp;IFERROR(IF(Hoja1!D323="","",IF(MOD(Hoja1!D323,1)=0,DOLLAR(Hoja1!D323,0),DOLLAR(Hoja1!D323,2))),"")&amp;IF(Hoja1!E323="","", " — "&amp;TRIM(Hoja1!E323))&amp;CHAR(10)&amp;CHAR(10)&amp;"📏 "&amp;SUBSTITUTE(TRIM(Hoja1!A324),"  "," ")&amp;CHAR(10)&amp;"💰 "&amp;IFERROR(IF(Hoja1!D324="","",IF(MOD(Hoja1!D324,1)=0,DOLLAR(Hoja1!D324,0),DOLLAR(Hoja1!D324,2))),"")</f>
        <v>🌱 JACARANDA MIMOSIFOLIA
📏 150-180 cm. E. 4 lts
💰 $ 17.704,50
📏 180-210 cm. E. 10 lts
💰 $ 44.000
📏 180-210 cm. E. 15 lts
💰 $ 96.570 — s/stock
📏 210-250 cm . E. 20 lts
💰 $ 99.000</v>
      </c>
    </row>
    <row r="98" spans="1:2" ht="120" customHeight="1" x14ac:dyDescent="0.25">
      <c r="A98" s="32" t="s">
        <v>692</v>
      </c>
      <c r="B98" s="32" t="str">
        <f>"🌱 JAZMÍN AMARILLO (JASMINUM MEZNY)"&amp;CHAR(10)&amp;""&amp;CHAR(10)&amp;""&amp;"📏 "&amp;SUBSTITUTE(TRIM(Hoja1!A326),"  "," ")&amp;CHAR(10)&amp;"💰 "&amp;IFERROR(IF(Hoja1!D326="","",IF(MOD(Hoja1!D326,1)=0,DOLLAR(Hoja1!D326,0),DOLLAR(Hoja1!D326,2))),"")&amp;CHAR(10)&amp;CHAR(10)&amp;"🌱 "&amp;SUBSTITUTE(TRIM(Hoja1!A327),"  "," ")&amp;CHAR(10)&amp;"💰 "&amp;IFERROR(IF(Hoja1!D327="","",IF(MOD(Hoja1!D327,1)=0,DOLLAR(Hoja1!D327,0),DOLLAR(Hoja1!D327,2))),"")&amp;IF(Hoja1!E327="","", " — "&amp;TRIM(Hoja1!E327))</f>
        <v>🌱 JAZMÍN AMARILLO (JASMINUM MEZNY)
📏 100-120cm E. 4 lts
💰 $ 12.232
🌱 OFERTA X 10 UNIDADES
💰 $ 11.500 — c/u</v>
      </c>
    </row>
    <row r="99" spans="1:2" ht="120" customHeight="1" x14ac:dyDescent="0.25">
      <c r="A99" s="32" t="s">
        <v>693</v>
      </c>
      <c r="B99" s="32" t="str">
        <f>"🌱 JAZMÍN AZORICO (JASMINUM AZORICUM )"&amp;CHAR(10)&amp;""&amp;CHAR(10)&amp;""&amp;"📏 "&amp;SUBSTITUTE(TRIM(Hoja1!A329),"  "," ")&amp;CHAR(10)&amp;"💰 "&amp;IFERROR(IF(Hoja1!D329="","",IF(MOD(Hoja1!D329,1)=0,DOLLAR(Hoja1!D329,0),DOLLAR(Hoja1!D329,2))),"")&amp;IF(Hoja1!E329="","", " — "&amp;TRIM(Hoja1!E329))</f>
        <v>🌱 JAZMÍN AZORICO (JASMINUM AZORICUM )
📏 100-120 cm. E. 4 lts
💰 $ 15.084,23 — s/stock</v>
      </c>
    </row>
    <row r="100" spans="1:2" ht="120" customHeight="1" x14ac:dyDescent="0.25">
      <c r="A100" s="32" t="s">
        <v>694</v>
      </c>
      <c r="B100" s="32" t="str">
        <f>"🌱 JAZMÍN CHINO (JASMINUM POLIANTHUS)"&amp;CHAR(10)&amp;""&amp;CHAR(10)&amp;""&amp;"📏 "&amp;SUBSTITUTE(TRIM(Hoja1!A331),"  "," ")&amp;CHAR(10)&amp;"💰 "&amp;IFERROR(IF(Hoja1!D331="","",IF(MOD(Hoja1!D331,1)=0,DOLLAR(Hoja1!D331,0),DOLLAR(Hoja1!D331,2))),"")&amp;CHAR(10)&amp;CHAR(10)&amp;"📏 "&amp;SUBSTITUTE(TRIM(Hoja1!A332),"  "," ")&amp;CHAR(10)&amp;"💰 "&amp;IFERROR(IF(Hoja1!D332="","",IF(MOD(Hoja1!D332,1)=0,DOLLAR(Hoja1!D332,0),DOLLAR(Hoja1!D332,2))),"")&amp;CHAR(10)&amp;CHAR(10)&amp;"🌱 "&amp;SUBSTITUTE(TRIM(Hoja1!A333),"  "," ")&amp;CHAR(10)&amp;"💰 "&amp;IFERROR(IF(Hoja1!D333="","",IF(MOD(Hoja1!D333,1)=0,DOLLAR(Hoja1!D333,0),DOLLAR(Hoja1!D333,2))),"")&amp;IF(Hoja1!E333="","", " — "&amp;TRIM(Hoja1!E333))</f>
        <v>🌱 JAZMÍN CHINO (JASMINUM POLIANTHUS)
📏 100-120cm. E. 4 lts
💰 $ 12.232
📏 150-180 cm. E. 10 lts
💰 $ 28.000
🌱 OFERTA X 10LTS COMPRANDO 10 UNIDADES O MAS
💰 $ 27.000 — c/u</v>
      </c>
    </row>
    <row r="101" spans="1:2" ht="120" customHeight="1" x14ac:dyDescent="0.25">
      <c r="A101" s="32" t="s">
        <v>695</v>
      </c>
      <c r="B101" s="32" t="str">
        <f>"🌱 JAZMÍN DE LECHE (TRACHELOSPERMUN JAZMINOIDES)"&amp;CHAR(10)&amp;""&amp;CHAR(10)&amp;""&amp;"📏 "&amp;SUBSTITUTE(TRIM(Hoja1!A335),"  "," ")&amp;CHAR(10)&amp;"💰 "&amp;IFERROR(IF(Hoja1!D335="","",IF(MOD(Hoja1!D335,1)=0,DOLLAR(Hoja1!D335,0),DOLLAR(Hoja1!D335,2))),"")&amp;CHAR(10)&amp;CHAR(10)&amp;"📏 "&amp;SUBSTITUTE(TRIM(Hoja1!A336),"  "," ")&amp;CHAR(10)&amp;"💰 "&amp;IFERROR(IF(Hoja1!D336="","",IF(MOD(Hoja1!D336,1)=0,DOLLAR(Hoja1!D336,0),DOLLAR(Hoja1!D336,2))),"")&amp;IF(Hoja1!E336="","", " — "&amp;TRIM(Hoja1!E336))&amp;CHAR(10)&amp;CHAR(10)&amp;"📏 "&amp;SUBSTITUTE(TRIM(Hoja1!A337),"  "," ")&amp;CHAR(10)&amp;"💰 "&amp;IFERROR(IF(Hoja1!D337="","",IF(MOD(Hoja1!D337,1)=0,DOLLAR(Hoja1!D337,0),DOLLAR(Hoja1!D337,2))),"")&amp;CHAR(10)&amp;CHAR(10)&amp;"📏 "&amp;SUBSTITUTE(TRIM(Hoja1!A338),"  "," ")&amp;CHAR(10)&amp;"💰 "&amp;IFERROR(IF(Hoja1!D338="","",IF(MOD(Hoja1!D338,1)=0,DOLLAR(Hoja1!D338,0),DOLLAR(Hoja1!D338,2))),"")&amp;IF(Hoja1!E338="","", " — "&amp;TRIM(Hoja1!E338))</f>
        <v>🌱 JAZMÍN DE LECHE (TRACHELOSPERMUN JAZMINOIDES)
📏 E. 4 lts 100cm
💰 $ 12.232
📏 OFERTA E. 4 lts 100cm COMPRANDO 10 UNIDADES O MAS
💰 $ 11.500 — c/u
📏 150-180 cm altura E. 10 lts
💰 $ 28.000
📏 OFERTA E.10 lts 150-180cm cm COMPRANDO 10 UNIDADES O MAS
💰 $ 27.000 — c/u</v>
      </c>
    </row>
    <row r="102" spans="1:2" ht="120" customHeight="1" x14ac:dyDescent="0.25">
      <c r="A102" s="32" t="s">
        <v>696</v>
      </c>
      <c r="B102" s="32" t="str">
        <f>"🌱 JAZMÍN DEL CABO (GARDENIA AUGUSTA )"&amp;CHAR(10)&amp;""&amp;CHAR(10)&amp;""&amp;"📏 "&amp;SUBSTITUTE(TRIM(Hoja1!A340),"  "," ")&amp;CHAR(10)&amp;"💰 "&amp;IFERROR(IF(Hoja1!D340="","",IF(MOD(Hoja1!D340,1)=0,DOLLAR(Hoja1!D340,0),DOLLAR(Hoja1!D340,2))),"")&amp;IF(Hoja1!E340="","", " — "&amp;TRIM(Hoja1!E340))&amp;CHAR(10)&amp;CHAR(10)&amp;"📏 "&amp;SUBSTITUTE(TRIM(Hoja1!A341),"  "," ")&amp;CHAR(10)&amp;"💰 "&amp;IFERROR(IF(Hoja1!D341="","",IF(MOD(Hoja1!D341,1)=0,DOLLAR(Hoja1!D341,0),DOLLAR(Hoja1!D341,2))),"")&amp;IF(Hoja1!E341="","", " — "&amp;TRIM(Hoja1!E341))</f>
        <v xml:space="preserve">🌱 JAZMÍN DEL CABO (GARDENIA AUGUSTA )
📏 . Inj. E. 4 lts 40cm
💰 $ 24.142,50 — s/stock
📏 Inj. E. 10 lts 60cm
💰 $ 40.000 — </v>
      </c>
    </row>
    <row r="103" spans="1:2" ht="120" customHeight="1" x14ac:dyDescent="0.25">
      <c r="A103" s="32" t="s">
        <v>697</v>
      </c>
      <c r="B103" s="32" t="str">
        <f>"🌱 JAZMÍN DEL CIELO (PLUBANGO CAPENSIS)"&amp;CHAR(10)&amp;""&amp;CHAR(10)&amp;""&amp;"🌱 "&amp;SUBSTITUTE(TRIM(Hoja1!A343),"  "," ")&amp;CHAR(10)&amp;"💰 "&amp;IFERROR(IF(Hoja1!D343="","",IF(MOD(Hoja1!D343,1)=0,DOLLAR(Hoja1!D343,0),DOLLAR(Hoja1!D343,2))),"")</f>
        <v>🌱 JAZMÍN DEL CIELO (PLUBANGO CAPENSIS)
🌱 E. 4 lts blanco o celeste
💰 $ 15.084,23</v>
      </c>
    </row>
    <row r="104" spans="1:2" ht="120" customHeight="1" x14ac:dyDescent="0.25">
      <c r="A104" s="32" t="s">
        <v>698</v>
      </c>
      <c r="B104" s="32" t="str">
        <f>"🌱 JAZMÍN FORTUNEY (GARDENIA AUGUSTA FORTUNIANA)"&amp;CHAR(10)&amp;""&amp;CHAR(10)&amp;""&amp;"🌱 "&amp;SUBSTITUTE(TRIM(Hoja1!A345),"  "," ")&amp;CHAR(10)&amp;"💰 "&amp;IFERROR(IF(Hoja1!D345="","",IF(MOD(Hoja1!D345,1)=0,DOLLAR(Hoja1!D345,0),DOLLAR(Hoja1!D345,2))),"")&amp;IF(Hoja1!E345="","", " — "&amp;TRIM(Hoja1!E345))&amp;CHAR(10)&amp;CHAR(10)&amp;"🌱 "&amp;SUBSTITUTE(TRIM(Hoja1!A346),"  "," ")&amp;CHAR(10)&amp;"💰 "&amp;IFERROR(IF(Hoja1!D346="","",IF(MOD(Hoja1!D346,1)=0,DOLLAR(Hoja1!D346,0),DOLLAR(Hoja1!D346,2))),"")&amp;CHAR(10)&amp;CHAR(10)&amp;"🌱 "&amp;SUBSTITUTE(TRIM(Hoja1!A347),"  "," ")&amp;CHAR(10)&amp;"💰 "&amp;IFERROR(IF(Hoja1!D347="","",IF(MOD(Hoja1!D347,1)=0,DOLLAR(Hoja1!D347,0),DOLLAR(Hoja1!D347,2))),"")&amp;IF(Hoja1!E347="","", " — "&amp;TRIM(Hoja1!E347))&amp;CHAR(10)&amp;CHAR(10)&amp;"🌱 "&amp;SUBSTITUTE(TRIM(Hoja1!A348),"  "," ")&amp;CHAR(10)&amp;"💰 "&amp;IFERROR(IF(Hoja1!D348="","",IF(MOD(Hoja1!D348,1)=0,DOLLAR(Hoja1!D348,0),DOLLAR(Hoja1!D348,2))),"")&amp;CHAR(10)&amp;CHAR(10)&amp;"🌱 "&amp;SUBSTITUTE(TRIM(Hoja1!A349),"  "," ")&amp;CHAR(10)&amp;"💰 "&amp;IFERROR(IF(Hoja1!D349="","",IF(MOD(Hoja1!D349,1)=0,DOLLAR(Hoja1!D349,0),DOLLAR(Hoja1!D349,2))),"")&amp;CHAR(10)&amp;CHAR(10)&amp;"🌱 "&amp;SUBSTITUTE(TRIM(Hoja1!A350),"  "," ")&amp;CHAR(10)&amp;"💰 "&amp;IFERROR(IF(Hoja1!D350="","",IF(MOD(Hoja1!D350,1)=0,DOLLAR(Hoja1!D350,0),DOLLAR(Hoja1!D350,2))),"")&amp;IF(Hoja1!E350="","", " — "&amp;TRIM(Hoja1!E350))</f>
        <v>🌱 JAZMÍN FORTUNEY (GARDENIA AUGUSTA FORTUNIANA)
🌱 E. 4 lts
💰 $ 12.232 — 
🌱 E. 10 lts
💰 $ 27.000
🌱 E. 15 lts
💰 $ 38.949,90 — s/stock
🌱 Juncus Blue
💰 
🌱 E. 4lts
💰 $ 8.900
🌱 OFERTA COMPRANDO 10 UNIDADES O MAS
💰 $ 8.500 — c/u</v>
      </c>
    </row>
    <row r="105" spans="1:2" ht="120" customHeight="1" x14ac:dyDescent="0.25">
      <c r="A105" s="32" t="s">
        <v>699</v>
      </c>
      <c r="B105" s="32" t="str">
        <f>"🌱 KIRI. (PAULOWNIA TOMENTOSA)"&amp;CHAR(10)&amp;""&amp;CHAR(10)&amp;""&amp;"📏 "&amp;SUBSTITUTE(TRIM(Hoja1!A352),"  "," ")&amp;CHAR(10)&amp;"💰 "&amp;IFERROR(IF(Hoja1!D352="","",IF(MOD(Hoja1!D352,1)=0,DOLLAR(Hoja1!D352,0),DOLLAR(Hoja1!D352,2))),"")&amp;IF(Hoja1!E352="","", " — "&amp;TRIM(Hoja1!E352))&amp;CHAR(10)&amp;CHAR(10)&amp;"📏 "&amp;SUBSTITUTE(TRIM(Hoja1!A353),"  "," ")&amp;CHAR(10)&amp;"💰 "&amp;IFERROR(IF(Hoja1!D353="","",IF(MOD(Hoja1!D353,1)=0,DOLLAR(Hoja1!D353,0),DOLLAR(Hoja1!D353,2))),"")&amp;CHAR(10)&amp;CHAR(10)&amp;"📏 "&amp;SUBSTITUTE(TRIM(Hoja1!A354),"  "," ")&amp;CHAR(10)&amp;"💰 "&amp;IFERROR(IF(Hoja1!D354="","",IF(MOD(Hoja1!D354,1)=0,DOLLAR(Hoja1!D354,0),DOLLAR(Hoja1!D354,2))),"")&amp;IF(Hoja1!E354="","", " — "&amp;TRIM(Hoja1!E354))</f>
        <v>🌱 KIRI. (PAULOWNIA TOMENTOSA)
📏 E. 4 lts. 80cm
💰 $ 16.117 — s/stock
📏 E. 10 lts. 150-180cm
💰 $ 32.190
📏 E. 15 lts 180-210cm
💰 $ 40.293 — s/stock</v>
      </c>
    </row>
    <row r="106" spans="1:2" ht="120" customHeight="1" x14ac:dyDescent="0.25">
      <c r="A106" s="32" t="s">
        <v>700</v>
      </c>
      <c r="B106" s="32" t="str">
        <f>"🌱 LAGERSTROEMIA INDICA ARBOL (CRESPÓN)"&amp;CHAR(10)&amp;""&amp;CHAR(10)&amp;""&amp;"📏 "&amp;SUBSTITUTE(TRIM(Hoja1!A356),"  "," ")&amp;CHAR(10)&amp;"💰 "&amp;IFERROR(IF(Hoja1!D356="","",IF(MOD(Hoja1!D356,1)=0,DOLLAR(Hoja1!D356,0),DOLLAR(Hoja1!D356,2))),"")&amp;IF(Hoja1!E356="","", " — "&amp;TRIM(Hoja1!E356))</f>
        <v xml:space="preserve">🌱 LAGERSTROEMIA INDICA ARBOL (CRESPÓN)
📏 c/copa, colores surtidos, 4-6 cm de circusnferencia de tronco, mas de 200cm de altura.
💰 $ 72.000 — </v>
      </c>
    </row>
    <row r="107" spans="1:2" ht="120" customHeight="1" x14ac:dyDescent="0.25">
      <c r="A107" s="32" t="s">
        <v>701</v>
      </c>
      <c r="B107" s="32" t="str">
        <f>"🌱 LANTANA CAMARA"&amp;CHAR(10)&amp;""&amp;CHAR(10)&amp;""&amp;"🌱 "&amp;SUBSTITUTE(TRIM(Hoja1!A358),"  "," ")&amp;CHAR(10)&amp;"💰 "&amp;IFERROR(IF(Hoja1!D358="","",IF(MOD(Hoja1!D358,1)=0,DOLLAR(Hoja1!D358,0),DOLLAR(Hoja1!D358,2))),"")&amp;IF(Hoja1!E358="","", " — "&amp;TRIM(Hoja1!E358))&amp;CHAR(10)&amp;CHAR(10)&amp;"🌱 "&amp;SUBSTITUTE(TRIM(Hoja1!A359),"  "," ")&amp;CHAR(10)&amp;"💰 "&amp;IFERROR(IF(Hoja1!D359="","",IF(MOD(Hoja1!D359,1)=0,DOLLAR(Hoja1!D359,0),DOLLAR(Hoja1!D359,2))),"")&amp;CHAR(10)&amp;CHAR(10)&amp;"🌱 "&amp;SUBSTITUTE(TRIM(Hoja1!A360),"  "," ")&amp;CHAR(10)&amp;"💰 "&amp;IFERROR(IF(Hoja1!D360="","",IF(MOD(Hoja1!D360,1)=0,DOLLAR(Hoja1!D360,0),DOLLAR(Hoja1!D360,2))),"")&amp;IF(Hoja1!E360="","", " — "&amp;TRIM(Hoja1!E360))</f>
        <v>🌱 LANTANA CAMARA
🌱 E. 4 lts
💰 $ 9.279 — s/stock
🌱 Lantana montevidensis.
💰 
🌱 E. 4 lts
💰 $ 9.279 — s/stock</v>
      </c>
    </row>
    <row r="108" spans="1:2" ht="120" customHeight="1" x14ac:dyDescent="0.25">
      <c r="A108" s="32" t="s">
        <v>702</v>
      </c>
      <c r="B108" s="32" t="str">
        <f>"🌱 LAPACHO BLANCO (TABEBUIA)"&amp;CHAR(10)&amp;""&amp;CHAR(10)&amp;""&amp;"📏 "&amp;SUBSTITUTE(TRIM(Hoja1!A362),"  "," ")&amp;CHAR(10)&amp;"💰 "&amp;IFERROR(IF(Hoja1!D362="","",IF(MOD(Hoja1!D362,1)=0,DOLLAR(Hoja1!D362,0),DOLLAR(Hoja1!D362,2))),"")&amp;IF(Hoja1!E362="","", " — "&amp;TRIM(Hoja1!E362))&amp;CHAR(10)&amp;CHAR(10)&amp;"🌱 "&amp;SUBSTITUTE(TRIM(Hoja1!A363),"  "," ")&amp;CHAR(10)&amp;"💰 "&amp;IFERROR(IF(Hoja1!D363="","",IF(MOD(Hoja1!D363,1)=0,DOLLAR(Hoja1!D363,0),DOLLAR(Hoja1!D363,2))),"")&amp;IF(Hoja1!E363="","", " — "&amp;TRIM(Hoja1!E363))&amp;CHAR(10)&amp;CHAR(10)&amp;"🌱 "&amp;SUBSTITUTE(TRIM(Hoja1!A364),"  "," ")&amp;CHAR(10)&amp;"💰 "&amp;IFERROR(IF(Hoja1!D364="","",IF(MOD(Hoja1!D364,1)=0,DOLLAR(Hoja1!D364,0),DOLLAR(Hoja1!D364,2))),"")&amp;CHAR(10)&amp;CHAR(10)&amp;"📏 "&amp;SUBSTITUTE(TRIM(Hoja1!A365),"  "," ")&amp;CHAR(10)&amp;"💰 "&amp;IFERROR(IF(Hoja1!D365="","",IF(MOD(Hoja1!D365,1)=0,DOLLAR(Hoja1!D365,0),DOLLAR(Hoja1!D365,2))),"")&amp;IF(Hoja1!E365="","", " — "&amp;TRIM(Hoja1!E365))&amp;CHAR(10)&amp;CHAR(10)&amp;"📏 "&amp;SUBSTITUTE(TRIM(Hoja1!A366),"  "," ")&amp;CHAR(10)&amp;"💰 "&amp;IFERROR(IF(Hoja1!D366="","",IF(MOD(Hoja1!D366,1)=0,DOLLAR(Hoja1!D366,0),DOLLAR(Hoja1!D366,2))),"")&amp;CHAR(10)&amp;CHAR(10)&amp;"🌱 "&amp;SUBSTITUTE(TRIM(Hoja1!A367),"  "," ")&amp;CHAR(10)&amp;"💰 "&amp;IFERROR(IF(Hoja1!D367="","",IF(MOD(Hoja1!D367,1)=0,DOLLAR(Hoja1!D367,0),DOLLAR(Hoja1!D367,2))),"")&amp;IF(Hoja1!E367="","", " — "&amp;TRIM(Hoja1!E367))</f>
        <v xml:space="preserve">🌱 LAPACHO BLANCO (TABEBUIA)
📏 E. 10 lts 100cm Injertado
💰 $ 101.398,50 — s/stock
🌱 E. 15 lts inj.
💰 $ 144.855 — s/stock
🌱 Lapacho amarillo (Tabebuia).
💰 
📏 E. 4 lts 60cm
💰 $ 19.047 — s/stock
📏 E. 10 lts 150-180cm
💰 $ 60.000
🌱 E. 15 lts
💰 $ 99.000 — </v>
      </c>
    </row>
    <row r="109" spans="1:2" ht="120" customHeight="1" x14ac:dyDescent="0.25">
      <c r="A109" s="32" t="s">
        <v>703</v>
      </c>
      <c r="B109" s="32" t="str">
        <f>"🌱 LAPACHO ROSADO (TABEBUIA)"&amp;CHAR(10)&amp;""&amp;CHAR(10)&amp;""&amp;"📏 "&amp;SUBSTITUTE(TRIM(Hoja1!A369),"  "," ")&amp;CHAR(10)&amp;"💰 "&amp;IFERROR(IF(Hoja1!D369="","",IF(MOD(Hoja1!D369,1)=0,DOLLAR(Hoja1!D369,0),DOLLAR(Hoja1!D369,2))),"")&amp;CHAR(10)&amp;CHAR(10)&amp;"📏 "&amp;SUBSTITUTE(TRIM(Hoja1!A370),"  "," ")&amp;CHAR(10)&amp;"💰 "&amp;IFERROR(IF(Hoja1!D370="","",IF(MOD(Hoja1!D370,1)=0,DOLLAR(Hoja1!D370,0),DOLLAR(Hoja1!D370,2))),"")&amp;IF(Hoja1!E370="","", " — "&amp;TRIM(Hoja1!E370))</f>
        <v>🌱 LAPACHO ROSADO (TABEBUIA)
📏 E. 10 lts 150-180cm
💰 $ 39.000
📏 E. 10 lts 150-180cm x 5 UNIDADES OFERTA
💰 $ 37.000 — c/u</v>
      </c>
    </row>
    <row r="110" spans="1:2" ht="120" customHeight="1" x14ac:dyDescent="0.25">
      <c r="A110" s="32" t="s">
        <v>704</v>
      </c>
      <c r="B110" s="32" t="str">
        <f>"🌱 LAUREL COMESTIBLE (LAURUS NOBILIS)"&amp;CHAR(10)&amp;""&amp;CHAR(10)&amp;""&amp;"🌱 "&amp;SUBSTITUTE(TRIM(Hoja1!A372),"  "," ")&amp;CHAR(10)&amp;"💰 "&amp;IFERROR(IF(Hoja1!D372="","",IF(MOD(Hoja1!D372,1)=0,DOLLAR(Hoja1!D372,0),DOLLAR(Hoja1!D372,2))),"")&amp;CHAR(10)&amp;CHAR(10)&amp;"🌱 "&amp;SUBSTITUTE(TRIM(Hoja1!A373),"  "," ")&amp;CHAR(10)&amp;"💰 "&amp;IFERROR(IF(Hoja1!D373="","",IF(MOD(Hoja1!D373,1)=0,DOLLAR(Hoja1!D373,0),DOLLAR(Hoja1!D373,2))),"")</f>
        <v>🌱 LAUREL COMESTIBLE (LAURUS NOBILIS)
🌱 E. 4 lts
💰 $ 12.232
🌱 E. 10 lts
💰 $ 27.000</v>
      </c>
    </row>
    <row r="111" spans="1:2" ht="120" customHeight="1" x14ac:dyDescent="0.25">
      <c r="A111" s="32" t="s">
        <v>705</v>
      </c>
      <c r="B111" s="32" t="str">
        <f>"🌱 LAUREL DEL FLOR (NERIUM OLEANDER)"&amp;CHAR(10)&amp;""&amp;CHAR(10)&amp;""&amp;"📏 "&amp;SUBSTITUTE(TRIM(Hoja1!A375),"  "," ")&amp;CHAR(10)&amp;"💰 "&amp;IFERROR(IF(Hoja1!D375="","",IF(MOD(Hoja1!D375,1)=0,DOLLAR(Hoja1!D375,0),DOLLAR(Hoja1!D375,2))),"")&amp;CHAR(10)&amp;CHAR(10)&amp;"📏 "&amp;SUBSTITUTE(TRIM(Hoja1!A376),"  "," ")&amp;CHAR(10)&amp;"💰 "&amp;IFERROR(IF(Hoja1!D376="","",IF(MOD(Hoja1!D376,1)=0,DOLLAR(Hoja1!D376,0),DOLLAR(Hoja1!D376,2))),"")&amp;CHAR(10)&amp;CHAR(10)&amp;"📏 "&amp;SUBSTITUTE(TRIM(Hoja1!A377),"  "," ")&amp;CHAR(10)&amp;"💰 "&amp;IFERROR(IF(Hoja1!D377="","",IF(MOD(Hoja1!D377,1)=0,DOLLAR(Hoja1!D377,0),DOLLAR(Hoja1!D377,2))),"")&amp;CHAR(10)&amp;CHAR(10)&amp;"📏 "&amp;SUBSTITUTE(TRIM(Hoja1!A378),"  "," ")&amp;CHAR(10)&amp;"💰 "&amp;IFERROR(IF(Hoja1!D378="","",IF(MOD(Hoja1!D378,1)=0,DOLLAR(Hoja1!D378,0),DOLLAR(Hoja1!D378,2))),"")&amp;IF(Hoja1!E378="","", " — "&amp;TRIM(Hoja1!E378))&amp;CHAR(10)&amp;CHAR(10)&amp;"📏 "&amp;SUBSTITUTE(TRIM(Hoja1!A379),"  "," ")&amp;CHAR(10)&amp;"💰 "&amp;IFERROR(IF(Hoja1!D379="","",IF(MOD(Hoja1!D379,1)=0,DOLLAR(Hoja1!D379,0),DOLLAR(Hoja1!D379,2))),"")&amp;IF(Hoja1!E379="","", " — "&amp;TRIM(Hoja1!E379))</f>
        <v>🌱 LAUREL DEL FLOR (NERIUM OLEANDER)
📏 E. 4 lts 70cm rosado, blanco y rojo
💰 $ 12.232
📏 E. 10 lts 110cm rojo
💰 $ 27.000
📏 E. 15 lts 130cm blanco y rosado
💰 $ 36.500
📏 E. 20 lts 170cm rosado
💰 $ 49.000 — 
📏 E. 30 lts 180-210cm
💰 $ 96.570 — s/stock</v>
      </c>
    </row>
    <row r="112" spans="1:2" ht="120" customHeight="1" x14ac:dyDescent="0.25">
      <c r="A112" s="32" t="s">
        <v>706</v>
      </c>
      <c r="B112" s="32" t="str">
        <f>"🌱 LAVANDA ANGUSTIFOLIA (LAVANDA SPICA) (ALHUCEMA)"&amp;CHAR(10)&amp;""&amp;CHAR(10)&amp;""&amp;"🌱 "&amp;SUBSTITUTE(TRIM(Hoja1!A381),"  "," ")&amp;CHAR(10)&amp;"💰 "&amp;IFERROR(IF(Hoja1!D381="","",IF(MOD(Hoja1!D381,1)=0,DOLLAR(Hoja1!D381,0),DOLLAR(Hoja1!D381,2))),"")</f>
        <v>🌱 LAVANDA ANGUSTIFOLIA (LAVANDA SPICA) (ALHUCEMA)
🌱 E. 10 lts
💰 $ 27.000</v>
      </c>
    </row>
    <row r="113" spans="1:2" ht="120" customHeight="1" x14ac:dyDescent="0.25">
      <c r="A113" s="32" t="s">
        <v>707</v>
      </c>
      <c r="B113" s="32" t="str">
        <f>"🌱 LAVANDA DENTATA"&amp;CHAR(10)&amp;""&amp;CHAR(10)&amp;""&amp;"🌱 "&amp;SUBSTITUTE(TRIM(Hoja1!A383),"  "," ")&amp;CHAR(10)&amp;"💰 "&amp;IFERROR(IF(Hoja1!D383="","",IF(MOD(Hoja1!D383,1)=0,DOLLAR(Hoja1!D383,0),DOLLAR(Hoja1!D383,2))),"")&amp;CHAR(10)&amp;CHAR(10)&amp;"🌱 "&amp;SUBSTITUTE(TRIM(Hoja1!A384),"  "," ")&amp;CHAR(10)&amp;"💰 "&amp;IFERROR(IF(Hoja1!D384="","",IF(MOD(Hoja1!D384,1)=0,DOLLAR(Hoja1!D384,0),DOLLAR(Hoja1!D384,2))),"")&amp;IF(Hoja1!E384="","", " — "&amp;TRIM(Hoja1!E384))</f>
        <v>🌱 LAVANDA DENTATA
🌱 E. 4 lts
💰 $ 8.900
🌱 oferta comprando 10 unidades
💰 $ 8.500 — c/u</v>
      </c>
    </row>
    <row r="114" spans="1:2" ht="120" customHeight="1" x14ac:dyDescent="0.25">
      <c r="A114" s="32" t="s">
        <v>708</v>
      </c>
      <c r="B114" s="32" t="str">
        <f>"🌱 LENGUA DE SUEGRA (DRACENA TRIFASCIATA) VERDE Y AUREA"&amp;CHAR(10)&amp;""&amp;CHAR(10)&amp;""&amp;"🌱 "&amp;SUBSTITUTE(TRIM(Hoja1!A386),"  "," ")&amp;CHAR(10)&amp;"💰 "&amp;IFERROR(IF(Hoja1!D386="","",IF(MOD(Hoja1!D386,1)=0,DOLLAR(Hoja1!D386,0),DOLLAR(Hoja1!D386,2))),"")&amp;CHAR(10)&amp;CHAR(10)&amp;"🌱 "&amp;SUBSTITUTE(TRIM(Hoja1!A387),"  "," ")&amp;CHAR(10)&amp;"💰 "&amp;IFERROR(IF(Hoja1!D387="","",IF(MOD(Hoja1!D387,1)=0,DOLLAR(Hoja1!D387,0),DOLLAR(Hoja1!D387,2))),"")&amp;IF(Hoja1!E387="","", " — "&amp;TRIM(Hoja1!E387))&amp;CHAR(10)&amp;CHAR(10)&amp;"🌱 "&amp;SUBSTITUTE(TRIM(Hoja1!A388),"  "," ")&amp;CHAR(10)&amp;"💰 "&amp;IFERROR(IF(Hoja1!D388="","",IF(MOD(Hoja1!D388,1)=0,DOLLAR(Hoja1!D388,0),DOLLAR(Hoja1!D388,2))),"")&amp;CHAR(10)&amp;CHAR(10)&amp;"📏 "&amp;SUBSTITUTE(TRIM(Hoja1!A389),"  "," ")&amp;CHAR(10)&amp;"💰 "&amp;IFERROR(IF(Hoja1!D389="","",IF(MOD(Hoja1!D389,1)=0,DOLLAR(Hoja1!D389,0),DOLLAR(Hoja1!D389,2))),"")&amp;CHAR(10)&amp;CHAR(10)&amp;"📏 "&amp;SUBSTITUTE(TRIM(Hoja1!A390),"  "," ")&amp;CHAR(10)&amp;"💰 "&amp;IFERROR(IF(Hoja1!D390="","",IF(MOD(Hoja1!D390,1)=0,DOLLAR(Hoja1!D390,0),DOLLAR(Hoja1!D390,2))),"")&amp;CHAR(10)&amp;CHAR(10)&amp;"📏 "&amp;SUBSTITUTE(TRIM(Hoja1!A391),"  "," ")&amp;CHAR(10)&amp;"💰 "&amp;IFERROR(IF(Hoja1!D391="","",IF(MOD(Hoja1!D391,1)=0,DOLLAR(Hoja1!D391,0),DOLLAR(Hoja1!D391,2))),"")&amp;IF(Hoja1!E391="","", " — "&amp;TRIM(Hoja1!E391))</f>
        <v>🌱 LENGUA DE SUEGRA (DRACENA TRIFASCIATA) VERDE Y AUREA
🌱 E. 4 lts
💰 $ 12.232
🌱 oferta comprando 10 unidades
💰 $ 11.500 — c/u
🌱 Ligustro Aurea
💰 $ 0
📏 Inj. a 200 cm. con copa, 6-8 cm de circunsferencia de tronco 15 lts.
💰 $ 54.900
📏 Inj. a 200 cm. con copa, 8-10 cm. E. 20 lts.
💰 $ 73.260
📏 Inj. a 200 cm. con copa, 10-12 cm. E. 30 lts.
💰 $ 109.890 — s/stock</v>
      </c>
    </row>
    <row r="115" spans="1:2" ht="120" customHeight="1" x14ac:dyDescent="0.25">
      <c r="A115" s="32" t="s">
        <v>709</v>
      </c>
      <c r="B115" s="32" t="str">
        <f>"🌱 LIGUSTRO VERDE (LIGUSTRUM LUCIDUM)"&amp;CHAR(10)&amp;""&amp;CHAR(10)&amp;""&amp;"📏 "&amp;SUBSTITUTE(TRIM(Hoja1!A393),"  "," ")&amp;CHAR(10)&amp;"💰 "&amp;IFERROR(IF(Hoja1!D393="","",IF(MOD(Hoja1!D393,1)=0,DOLLAR(Hoja1!D393,0),DOLLAR(Hoja1!D393,2))),"")&amp;IF(Hoja1!E393="","", " — "&amp;TRIM(Hoja1!E393))&amp;CHAR(10)&amp;CHAR(10)&amp;"📏 "&amp;SUBSTITUTE(TRIM(Hoja1!A394),"  "," ")&amp;CHAR(10)&amp;"💰 "&amp;IFERROR(IF(Hoja1!D394="","",IF(MOD(Hoja1!D394,1)=0,DOLLAR(Hoja1!D394,0),DOLLAR(Hoja1!D394,2))),"")&amp;IF(Hoja1!E394="","", " — "&amp;TRIM(Hoja1!E394))</f>
        <v>🌱 LIGUSTRO VERDE (LIGUSTRUM LUCIDUM)
📏 con copa, 6-8 cm. E. 10 lts
💰 $ 24.420 — s/stock
📏 con copa, 8-10 cm. E. 15 lts
💰 $ 51.282 — s/stock</v>
      </c>
    </row>
    <row r="116" spans="1:2" ht="120" customHeight="1" x14ac:dyDescent="0.25">
      <c r="A116" s="32" t="s">
        <v>347</v>
      </c>
      <c r="B116" s="32" t="str">
        <f>"🌱 LILA (SYRINGA VULGARIS)"&amp;CHAR(10)&amp;""&amp;CHAR(10)&amp;""&amp;"🌱 "&amp;SUBSTITUTE(TRIM(Hoja1!A396),"  "," ")&amp;CHAR(10)&amp;"💰 "&amp;IFERROR(IF(Hoja1!D396="","",IF(MOD(Hoja1!D396,1)=0,DOLLAR(Hoja1!D396,0),DOLLAR(Hoja1!D396,2))),"")&amp;CHAR(10)&amp;CHAR(10)&amp;"🌱 "&amp;SUBSTITUTE(TRIM(Hoja1!A397),"  "," ")&amp;CHAR(10)&amp;"💰 "&amp;IFERROR(IF(Hoja1!D397="","",IF(MOD(Hoja1!D397,1)=0,DOLLAR(Hoja1!D397,0),DOLLAR(Hoja1!D397,2))),"")&amp;IF(Hoja1!E397="","", " — "&amp;TRIM(Hoja1!E397))</f>
        <v>🌱 LILA (SYRINGA VULGARIS)
🌱 con copa E.. 15 lts
💰 $ 40.293
🌱 con copa E.. 20 lts
💰 $ 54.945 — s/stock</v>
      </c>
    </row>
    <row r="117" spans="1:2" ht="120" customHeight="1" x14ac:dyDescent="0.25">
      <c r="A117" s="32" t="s">
        <v>350</v>
      </c>
      <c r="B117" s="32" t="str">
        <f>"🌱 LIQUIDAMBAR STYRACIFLUA"&amp;CHAR(10)&amp;""&amp;CHAR(10)&amp;""&amp;"📏 "&amp;SUBSTITUTE(TRIM(Hoja1!A399),"  "," ")&amp;CHAR(10)&amp;"💰 "&amp;IFERROR(IF(Hoja1!D399="","",IF(MOD(Hoja1!D399,1)=0,DOLLAR(Hoja1!D399,0),DOLLAR(Hoja1!D399,2))),"")&amp;CHAR(10)&amp;CHAR(10)&amp;"📏 "&amp;SUBSTITUTE(TRIM(Hoja1!A400),"  "," ")&amp;CHAR(10)&amp;"💰 "&amp;IFERROR(IF(Hoja1!D400="","",IF(MOD(Hoja1!D400,1)=0,DOLLAR(Hoja1!D400,0),DOLLAR(Hoja1!D400,2))),"")&amp;CHAR(10)&amp;CHAR(10)&amp;"📏 "&amp;SUBSTITUTE(TRIM(Hoja1!A401),"  "," ")&amp;CHAR(10)&amp;"💰 "&amp;IFERROR(IF(Hoja1!D401="","",IF(MOD(Hoja1!D401,1)=0,DOLLAR(Hoja1!D401,0),DOLLAR(Hoja1!D401,2))),"")&amp;CHAR(10)&amp;CHAR(10)&amp;"📏 "&amp;SUBSTITUTE(TRIM(Hoja1!A402),"  "," ")&amp;CHAR(10)&amp;"💰 "&amp;IFERROR(IF(Hoja1!D402="","",IF(MOD(Hoja1!D402,1)=0,DOLLAR(Hoja1!D402,0),DOLLAR(Hoja1!D402,2))),"")</f>
        <v>🌱 LIQUIDAMBAR STYRACIFLUA
📏 120-150cm alt
💰 $ 78.000
📏 150-180 cm alt
💰 $ 99.000
📏 180-210cm
💰 $ 173.000
📏 210-250cm
💰 $ 245.000</v>
      </c>
    </row>
    <row r="118" spans="1:2" ht="120" customHeight="1" x14ac:dyDescent="0.25">
      <c r="A118" s="32" t="s">
        <v>710</v>
      </c>
      <c r="B118" s="32" t="str">
        <f>"🌱 LIRIOPE MUSCARDI Y VERDE"&amp;CHAR(10)&amp;""&amp;CHAR(10)&amp;""&amp;"🌱 "&amp;SUBSTITUTE(TRIM(Hoja1!A404),"  "," ")&amp;CHAR(10)&amp;"💰 "&amp;IFERROR(IF(Hoja1!D404="","",IF(MOD(Hoja1!D404,1)=0,DOLLAR(Hoja1!D404,0),DOLLAR(Hoja1!D404,2))),"")</f>
        <v>🌱 LIRIOPE MUSCARDI Y VERDE
🌱 E. 4 lts
💰 $ 9.900</v>
      </c>
    </row>
    <row r="119" spans="1:2" ht="120" customHeight="1" x14ac:dyDescent="0.25">
      <c r="A119" s="32" t="s">
        <v>711</v>
      </c>
      <c r="B119" s="32" t="str">
        <f>"🌱 MADRESELVA ROSADA (LONICERA CAPRIFOLIUM BELGICAE )"&amp;CHAR(10)&amp;""&amp;CHAR(10)&amp;""&amp;"📏 "&amp;SUBSTITUTE(TRIM(Hoja1!A406),"  "," ")&amp;CHAR(10)&amp;"💰 "&amp;IFERROR(IF(Hoja1!D406="","",IF(MOD(Hoja1!D406,1)=0,DOLLAR(Hoja1!D406,0),DOLLAR(Hoja1!D406,2))),"")&amp;CHAR(10)&amp;CHAR(10)&amp;"📏 "&amp;SUBSTITUTE(TRIM(Hoja1!A407),"  "," ")&amp;CHAR(10)&amp;"💰 "&amp;IFERROR(IF(Hoja1!D407="","",IF(MOD(Hoja1!D407,1)=0,DOLLAR(Hoja1!D407,0),DOLLAR(Hoja1!D407,2))),"")&amp;IF(Hoja1!E407="","", " — "&amp;TRIM(Hoja1!E407))</f>
        <v>🌱 MADRESELVA ROSADA (LONICERA CAPRIFOLIUM BELGICAE )
📏 150-180 cm E. 10lts
💰 $ 25.000
📏 OFERTA 10 UNIDADES E. 10LTS 150CM
💰 $ 24.000 — c/u</v>
      </c>
    </row>
    <row r="120" spans="1:2" ht="120" customHeight="1" x14ac:dyDescent="0.25">
      <c r="A120" s="32" t="s">
        <v>712</v>
      </c>
      <c r="B120" s="32" t="str">
        <f>"🌱 MAGNOLIA GRANDIFLORA"&amp;CHAR(10)&amp;""&amp;CHAR(10)&amp;""&amp;"🌱 "&amp;SUBSTITUTE(TRIM(Hoja1!A409),"  "," ")&amp;CHAR(10)&amp;"💰 "&amp;IFERROR(IF(Hoja1!D409="","",IF(MOD(Hoja1!D409,1)=0,DOLLAR(Hoja1!D409,0),DOLLAR(Hoja1!D409,2))),"")&amp;IF(Hoja1!E409="","", " — "&amp;TRIM(Hoja1!E409))&amp;CHAR(10)&amp;CHAR(10)&amp;"🌱 "&amp;SUBSTITUTE(TRIM(Hoja1!A410),"  "," ")&amp;CHAR(10)&amp;"💰 "&amp;IFERROR(IF(Hoja1!D410="","",IF(MOD(Hoja1!D410,1)=0,DOLLAR(Hoja1!D410,0),DOLLAR(Hoja1!D410,2))),"")</f>
        <v>🌱 MAGNOLIA GRANDIFLORA
🌱 E. 4 lts
💰 $ 12.232 — 
🌱 E. 10lts
💰 $ 27.000</v>
      </c>
    </row>
    <row r="121" spans="1:2" ht="120" customHeight="1" x14ac:dyDescent="0.25">
      <c r="A121" s="32" t="s">
        <v>713</v>
      </c>
      <c r="B121" s="32" t="str">
        <f>"🌱 MELALEUCA"&amp;CHAR(10)&amp;""&amp;CHAR(10)&amp;""&amp;"📏 "&amp;SUBSTITUTE(TRIM(Hoja1!A412),"  "," ")&amp;CHAR(10)&amp;"💰 "&amp;IFERROR(IF(Hoja1!D412="","",IF(MOD(Hoja1!D412,1)=0,DOLLAR(Hoja1!D412,0),DOLLAR(Hoja1!D412,2))),"")&amp;CHAR(10)&amp;CHAR(10)&amp;"📏 "&amp;SUBSTITUTE(TRIM(Hoja1!A413),"  "," ")&amp;CHAR(10)&amp;"💰 "&amp;IFERROR(IF(Hoja1!D413="","",IF(MOD(Hoja1!D413,1)=0,DOLLAR(Hoja1!D413,0),DOLLAR(Hoja1!D413,2))),"")</f>
        <v>🌱 MELALEUCA
📏 E. 10 lts 150cm
💰 $ 27.000
📏 E. 20 lts 150-180cm
💰 $ 49.000</v>
      </c>
    </row>
    <row r="122" spans="1:2" ht="120" customHeight="1" x14ac:dyDescent="0.25">
      <c r="A122" s="32" t="s">
        <v>714</v>
      </c>
      <c r="B122" s="32" t="str">
        <f>"🌱 MISCANTHUS GRACILLIUM"&amp;CHAR(10)&amp;""&amp;CHAR(10)&amp;""&amp;"🌱 "&amp;SUBSTITUTE(TRIM(Hoja1!A415),"  "," ")&amp;CHAR(10)&amp;"💰 "&amp;IFERROR(IF(Hoja1!D415="","",IF(MOD(Hoja1!D415,1)=0,DOLLAR(Hoja1!D415,0),DOLLAR(Hoja1!D415,2))),"")</f>
        <v>🌱 MISCANTHUS GRACILLIUM
🌱 E. 4 lts
💰 $ 8.900</v>
      </c>
    </row>
    <row r="123" spans="1:2" ht="120" customHeight="1" x14ac:dyDescent="0.25">
      <c r="A123" s="32" t="s">
        <v>715</v>
      </c>
      <c r="B123" s="32" t="str">
        <f>"🌱 MYOPORUM (TRANSPARENTE SIEMPRE VERDE)"&amp;CHAR(10)&amp;""&amp;CHAR(10)&amp;""&amp;"📏 "&amp;SUBSTITUTE(TRIM(Hoja1!A417),"  "," ")&amp;CHAR(10)&amp;"💰 "&amp;IFERROR(IF(Hoja1!D417="","",IF(MOD(Hoja1!D417,1)=0,DOLLAR(Hoja1!D417,0),DOLLAR(Hoja1!D417,2))),"")</f>
        <v>🌱 MYOPORUM (TRANSPARENTE SIEMPRE VERDE)
📏 E. 4 lts 60cm
💰 $ 12.232</v>
      </c>
    </row>
    <row r="124" spans="1:2" ht="120" customHeight="1" x14ac:dyDescent="0.25">
      <c r="A124" s="32" t="s">
        <v>716</v>
      </c>
      <c r="B124" s="32" t="str">
        <f>"🌱 MISCANTHUS SINENSIS VARIEGATA"&amp;CHAR(10)&amp;""&amp;CHAR(10)&amp;""&amp;"🌱 "&amp;SUBSTITUTE(TRIM(Hoja1!A419),"  "," ")&amp;CHAR(10)&amp;"💰 "&amp;IFERROR(IF(Hoja1!D419="","",IF(MOD(Hoja1!D419,1)=0,DOLLAR(Hoja1!D419,0),DOLLAR(Hoja1!D419,2))),"")&amp;IF(Hoja1!E419="","", " — "&amp;TRIM(Hoja1!E419))</f>
        <v>🌱 MISCANTHUS SINENSIS VARIEGATA
🌱 E. 4 lts
💰 $ 8.900 — s/stock</v>
      </c>
    </row>
    <row r="125" spans="1:2" ht="120" customHeight="1" x14ac:dyDescent="0.25">
      <c r="A125" t="s">
        <v>369</v>
      </c>
      <c r="B125" t="str">
        <f>"🌱 MONSTERA"&amp;CHAR(10)&amp;""&amp;CHAR(10)&amp;""&amp;"🌱 "&amp;SUBSTITUTE(TRIM(Hoja1!A421),"  "," ")&amp;CHAR(10)&amp;"💰 "&amp;IFERROR(IF(Hoja1!D421="","",IF(MOD(Hoja1!D421,1)=0,DOLLAR(Hoja1!D421,0),DOLLAR(Hoja1!D421,2))),"")</f>
        <v>🌱 MONSTERA
🌱 E. 4lts
💰 $ 27.000</v>
      </c>
    </row>
    <row r="126" spans="1:2" ht="120" customHeight="1" x14ac:dyDescent="0.25">
      <c r="A126" s="32" t="s">
        <v>717</v>
      </c>
      <c r="B126" s="32" t="str">
        <f>"🌱 MUHLENBERGIA CAPILARIS"&amp;CHAR(10)&amp;""&amp;CHAR(10)&amp;""&amp;"🌱 "&amp;SUBSTITUTE(TRIM(Hoja1!A423),"  "," ")&amp;CHAR(10)&amp;"💰 "&amp;IFERROR(IF(Hoja1!D423="","",IF(MOD(Hoja1!D423,1)=0,DOLLAR(Hoja1!D423,0),DOLLAR(Hoja1!D423,2))),"")&amp;CHAR(10)&amp;CHAR(10)&amp;"🌱 "&amp;SUBSTITUTE(TRIM(Hoja1!A424),"  "," ")&amp;CHAR(10)&amp;"💰 "&amp;IFERROR(IF(Hoja1!D424="","",IF(MOD(Hoja1!D424,1)=0,DOLLAR(Hoja1!D424,0),DOLLAR(Hoja1!D424,2))),"")&amp;IF(Hoja1!E424="","", " — "&amp;TRIM(Hoja1!E424))</f>
        <v>🌱 MUHLENBERGIA CAPILARIS
🌱 E. 4 lts
💰 $ 8.900
🌱 OFERTA X 10 UNIDADES
💰 $ 8.500 — c/u</v>
      </c>
    </row>
    <row r="127" spans="1:2" ht="120" customHeight="1" x14ac:dyDescent="0.25">
      <c r="A127" s="32" t="s">
        <v>718</v>
      </c>
      <c r="B127" s="32" t="str">
        <f>"🌱 NANDINA DOMÉSTICA"&amp;CHAR(10)&amp;""&amp;CHAR(10)&amp;""&amp;"🌱 "&amp;SUBSTITUTE(TRIM(Hoja1!A426),"  "," ")&amp;CHAR(10)&amp;"💰 "&amp;IFERROR(IF(Hoja1!D426="","",IF(MOD(Hoja1!D426,1)=0,DOLLAR(Hoja1!D426,0),DOLLAR(Hoja1!D426,2))),"")&amp;CHAR(10)&amp;CHAR(10)&amp;"🌱 "&amp;SUBSTITUTE(TRIM(Hoja1!A427),"  "," ")&amp;CHAR(10)&amp;"💰 "&amp;IFERROR(IF(Hoja1!D427="","",IF(MOD(Hoja1!D427,1)=0,DOLLAR(Hoja1!D427,0),DOLLAR(Hoja1!D427,2))),"")&amp;IF(Hoja1!E427="","", " — "&amp;TRIM(Hoja1!E427))&amp;CHAR(10)&amp;CHAR(10)&amp;"🌱 "&amp;SUBSTITUTE(TRIM(Hoja1!A428),"  "," ")&amp;CHAR(10)&amp;"💰 "&amp;IFERROR(IF(Hoja1!D428="","",IF(MOD(Hoja1!D428,1)=0,DOLLAR(Hoja1!D428,0),DOLLAR(Hoja1!D428,2))),"")&amp;IF(Hoja1!E428="","", " — "&amp;TRIM(Hoja1!E428))</f>
        <v>🌱 NANDINA DOMÉSTICA
🌱 E, 4 lts
💰 $ 13.500
🌱 E. 10 lts
💰 $ 32.190 — s/stock
🌱 E. 15 lts
💰 $ 39.432,75 — s/stock</v>
      </c>
    </row>
    <row r="128" spans="1:2" ht="120" customHeight="1" x14ac:dyDescent="0.25">
      <c r="A128" s="32" t="s">
        <v>719</v>
      </c>
      <c r="B128" s="32" t="str">
        <f>"🌱 NANDINA DOMÉSTICA FIREPOWER"&amp;CHAR(10)&amp;""&amp;CHAR(10)&amp;""&amp;"🌱 "&amp;SUBSTITUTE(TRIM(Hoja1!A430),"  "," ")&amp;CHAR(10)&amp;"💰 "&amp;IFERROR(IF(Hoja1!D430="","",IF(MOD(Hoja1!D430,1)=0,DOLLAR(Hoja1!D430,0),DOLLAR(Hoja1!D430,2))),"")&amp;IF(Hoja1!E430="","", " — "&amp;TRIM(Hoja1!E430))&amp;CHAR(10)&amp;CHAR(10)&amp;"🌱 "&amp;SUBSTITUTE(TRIM(Hoja1!A431),"  "," ")&amp;CHAR(10)&amp;"💰 "&amp;IFERROR(IF(Hoja1!D431="","",IF(MOD(Hoja1!D431,1)=0,DOLLAR(Hoja1!D431,0),DOLLAR(Hoja1!D431,2))),"")&amp;IF(Hoja1!E431="","", " — "&amp;TRIM(Hoja1!E431))</f>
        <v xml:space="preserve">🌱 NANDINA DOMÉSTICA FIREPOWER
🌱 E. 4 lts
💰 $ 14.887,88 — s/stock
🌱 E. 10 lts
💰 $ 29.000 — </v>
      </c>
    </row>
    <row r="129" spans="1:2" ht="120" customHeight="1" x14ac:dyDescent="0.25">
      <c r="A129" s="32" t="s">
        <v>720</v>
      </c>
      <c r="B129" s="32" t="str">
        <f>"🌱 NOLINA (BEAUCARNEA RECURVATA)"&amp;CHAR(10)&amp;""&amp;CHAR(10)&amp;""&amp;"🌱 "&amp;SUBSTITUTE(TRIM(Hoja1!A433),"  "," ")&amp;CHAR(10)&amp;"💰 "&amp;IFERROR(IF(Hoja1!D433="","",IF(MOD(Hoja1!D433,1)=0,DOLLAR(Hoja1!D433,0),DOLLAR(Hoja1!D433,2))),"")&amp;CHAR(10)&amp;CHAR(10)&amp;"🌱 "&amp;SUBSTITUTE(TRIM(Hoja1!A434),"  "," ")&amp;CHAR(10)&amp;"💰 "&amp;IFERROR(IF(Hoja1!D434="","",IF(MOD(Hoja1!D434,1)=0,DOLLAR(Hoja1!D434,0),DOLLAR(Hoja1!D434,2))),"")&amp;IF(Hoja1!E434="","", " — "&amp;TRIM(Hoja1!E434))&amp;CHAR(10)&amp;CHAR(10)&amp;"🌱 "&amp;SUBSTITUTE(TRIM(Hoja1!A435),"  "," ")&amp;CHAR(10)&amp;"💰 "&amp;IFERROR(IF(Hoja1!D435="","",IF(MOD(Hoja1!D435,1)=0,DOLLAR(Hoja1!D435,0),DOLLAR(Hoja1!D435,2))),"")&amp;IF(Hoja1!E435="","", " — "&amp;TRIM(Hoja1!E435))&amp;CHAR(10)&amp;CHAR(10)&amp;"🌱 "&amp;SUBSTITUTE(TRIM(Hoja1!A436),"  "," ")&amp;CHAR(10)&amp;"💰 "&amp;IFERROR(IF(Hoja1!D436="","",IF(MOD(Hoja1!D436,1)=0,DOLLAR(Hoja1!D436,0),DOLLAR(Hoja1!D436,2))),"")&amp;CHAR(10)&amp;CHAR(10)&amp;"📏 "&amp;SUBSTITUTE(TRIM(Hoja1!A437),"  "," ")&amp;CHAR(10)&amp;"💰 "&amp;IFERROR(IF(Hoja1!D437="","",IF(MOD(Hoja1!D437,1)=0,DOLLAR(Hoja1!D437,0),DOLLAR(Hoja1!D437,2))),"")&amp;CHAR(10)&amp;CHAR(10)&amp;"📏 "&amp;SUBSTITUTE(TRIM(Hoja1!A438),"  "," ")&amp;CHAR(10)&amp;"💰 "&amp;IFERROR(IF(Hoja1!D438="","",IF(MOD(Hoja1!D438,1)=0,DOLLAR(Hoja1!D438,0),DOLLAR(Hoja1!D438,2))),"")&amp;CHAR(10)&amp;CHAR(10)&amp;"📏 "&amp;SUBSTITUTE(TRIM(Hoja1!A439),"  "," ")&amp;CHAR(10)&amp;"💰 "&amp;IFERROR(IF(Hoja1!D439="","",IF(MOD(Hoja1!D439,1)=0,DOLLAR(Hoja1!D439,0),DOLLAR(Hoja1!D439,2))),"")</f>
        <v>🌱 NOLINA (BEAUCARNEA RECURVATA)
🌱 E. 4 lts
💰 $ 12.232
🌱 E. 7 lts
💰 $ 25.591,05 — s/stock
🌱 E. 10 lts
💰 $ 27.200,55 — s/stock
🌱 Olea texanum (Ligustrum texanum).
💰 
📏 E. 4lts 40cm
💰 $ 12.232
📏 E. 10 lts 160cm OFERTA
💰 $ 27.000
📏 E. 20 lts 150-160cm
💰 $ 49.000</v>
      </c>
    </row>
    <row r="130" spans="1:2" ht="120" customHeight="1" x14ac:dyDescent="0.25">
      <c r="A130" s="32" t="s">
        <v>721</v>
      </c>
      <c r="B130" s="32" t="str">
        <f>"🌱 OLEA TEXANUM AUREA (LIGUSTRUM TEXANUM AUREA )"&amp;CHAR(10)&amp;""&amp;CHAR(10)&amp;""&amp;"📏 "&amp;SUBSTITUTE(TRIM(Hoja1!A441),"  "," ")&amp;CHAR(10)&amp;"💰 "&amp;IFERROR(IF(Hoja1!D441="","",IF(MOD(Hoja1!D441,1)=0,DOLLAR(Hoja1!D441,0),DOLLAR(Hoja1!D441,2))),"")&amp;CHAR(10)&amp;CHAR(10)&amp;"📏 "&amp;SUBSTITUTE(TRIM(Hoja1!A442),"  "," ")&amp;CHAR(10)&amp;"💰 "&amp;IFERROR(IF(Hoja1!D442="","",IF(MOD(Hoja1!D442,1)=0,DOLLAR(Hoja1!D442,0),DOLLAR(Hoja1!D442,2))),"")&amp;CHAR(10)&amp;CHAR(10)&amp;"📏 "&amp;SUBSTITUTE(TRIM(Hoja1!A443),"  "," ")&amp;CHAR(10)&amp;"💰 "&amp;IFERROR(IF(Hoja1!D443="","",IF(MOD(Hoja1!D443,1)=0,DOLLAR(Hoja1!D443,0),DOLLAR(Hoja1!D443,2))),"")</f>
        <v>🌱 OLEA TEXANUM AUREA (LIGUSTRUM TEXANUM AUREA )
📏 E. 4 lts 40cm
💰 $ 12.232
📏 E. 10 lts 160cm OFERTA
💰 $ 27.000
📏 E. 20 lts 150cm
💰 $ 49.000</v>
      </c>
    </row>
    <row r="131" spans="1:2" ht="120" customHeight="1" x14ac:dyDescent="0.25">
      <c r="A131" s="32" t="s">
        <v>722</v>
      </c>
      <c r="B131" s="32" t="str">
        <f>"🌱 OLIVETTA AUREA (LIGUSTRUM OVALIFOLIUM AUREO)"&amp;CHAR(10)&amp;""&amp;CHAR(10)&amp;""&amp;"🌱 "&amp;SUBSTITUTE(TRIM(Hoja1!A445),"  "," ")&amp;CHAR(10)&amp;"💰 "&amp;IFERROR(IF(Hoja1!D445="","",IF(MOD(Hoja1!D445,1)=0,DOLLAR(Hoja1!D445,0),DOLLAR(Hoja1!D445,2))),"")&amp;IF(Hoja1!E445="","", " — "&amp;TRIM(Hoja1!E445))&amp;CHAR(10)&amp;CHAR(10)&amp;"🌱 "&amp;SUBSTITUTE(TRIM(Hoja1!A446),"  "," ")&amp;CHAR(10)&amp;"💰 "&amp;IFERROR(IF(Hoja1!D446="","",IF(MOD(Hoja1!D446,1)=0,DOLLAR(Hoja1!D446,0),DOLLAR(Hoja1!D446,2))),"")</f>
        <v>🌱 OLIVETTA AUREA (LIGUSTRUM OVALIFOLIUM AUREO)
🌱 E. 4 lts
💰 $ 12.232 — 
🌱 E. 10 lts
💰 $ 27.000</v>
      </c>
    </row>
    <row r="132" spans="1:2" ht="120" customHeight="1" x14ac:dyDescent="0.25">
      <c r="A132" s="32" t="s">
        <v>723</v>
      </c>
      <c r="B132" s="32" t="str">
        <f>"🌱 OPHIOPOGON (PASTO INGLES)"&amp;CHAR(10)&amp;""&amp;CHAR(10)&amp;""&amp;"🌱 "&amp;SUBSTITUTE(TRIM(Hoja1!A448),"  "," ")&amp;CHAR(10)&amp;"💰 "&amp;IFERROR(IF(Hoja1!D448="","",IF(MOD(Hoja1!D448,1)=0,DOLLAR(Hoja1!D448,0),DOLLAR(Hoja1!D448,2))),"")&amp;CHAR(10)&amp;CHAR(10)&amp;"🌱 "&amp;SUBSTITUTE(TRIM(Hoja1!A449),"  "," ")&amp;CHAR(10)&amp;"💰 "&amp;IFERROR(IF(Hoja1!D449="","",IF(MOD(Hoja1!D449,1)=0,DOLLAR(Hoja1!D449,0),DOLLAR(Hoja1!D449,2))),"")&amp;IF(Hoja1!E449="","", " — "&amp;TRIM(Hoja1!E449))</f>
        <v>🌱 OPHIOPOGON (PASTO INGLES)
🌱 E. 4 lts
💰 $ 8.900
🌱 E. 4 lts x 50 unidades OFERTA
💰 $ 8.500 — c/u</v>
      </c>
    </row>
    <row r="133" spans="1:2" ht="120" customHeight="1" x14ac:dyDescent="0.25">
      <c r="A133" s="32" t="s">
        <v>394</v>
      </c>
      <c r="B133" s="32" t="str">
        <f>"🌱 OREJA DE ELEFANTE (ALOCACIAS)"&amp;CHAR(10)&amp;""&amp;CHAR(10)&amp;""&amp;"🌱 "&amp;SUBSTITUTE(TRIM(Hoja1!A451),"  "," ")&amp;CHAR(10)&amp;"💰 "&amp;IFERROR(IF(Hoja1!D451="","",IF(MOD(Hoja1!D451,1)=0,DOLLAR(Hoja1!D451,0),DOLLAR(Hoja1!D451,2))),"")&amp;CHAR(10)&amp;CHAR(10)&amp;"🌱 "&amp;SUBSTITUTE(TRIM(Hoja1!A452),"  "," ")&amp;CHAR(10)&amp;"💰 "&amp;IFERROR(IF(Hoja1!D452="","",IF(MOD(Hoja1!D452,1)=0,DOLLAR(Hoja1!D452,0),DOLLAR(Hoja1!D452,2))),"")&amp;IF(Hoja1!E452="","", " — "&amp;TRIM(Hoja1!E452))</f>
        <v>🌱 OREJA DE ELEFANTE (ALOCACIAS)
🌱 E. 5 lts
💰 $ 27.000
🌱 E, 20 lts
💰 $ 53.333,28 — s/stock</v>
      </c>
    </row>
    <row r="134" spans="1:2" ht="120" customHeight="1" x14ac:dyDescent="0.25">
      <c r="A134" s="32" t="s">
        <v>724</v>
      </c>
      <c r="B134" s="32" t="str">
        <f>"🌱 OMBÚ (PHYTOLACCA DIOICA)"&amp;CHAR(10)&amp;""&amp;CHAR(10)&amp;""&amp;"📏 "&amp;SUBSTITUTE(TRIM(Hoja1!A454),"  "," ")&amp;CHAR(10)&amp;"💰 "&amp;IFERROR(IF(Hoja1!D454="","",IF(MOD(Hoja1!D454,1)=0,DOLLAR(Hoja1!D454,0),DOLLAR(Hoja1!D454,2))),"")&amp;IF(Hoja1!E454="","", " — "&amp;TRIM(Hoja1!E454))&amp;CHAR(10)&amp;CHAR(10)&amp;"📏 "&amp;SUBSTITUTE(TRIM(Hoja1!A455),"  "," ")&amp;CHAR(10)&amp;"💰 "&amp;IFERROR(IF(Hoja1!D455="","",IF(MOD(Hoja1!D455,1)=0,DOLLAR(Hoja1!D455,0),DOLLAR(Hoja1!D455,2))),"")&amp;IF(Hoja1!E455="","", " — "&amp;TRIM(Hoja1!E455))&amp;CHAR(10)&amp;CHAR(10)&amp;"📏 "&amp;SUBSTITUTE(TRIM(Hoja1!A456),"  "," ")&amp;CHAR(10)&amp;"💰 "&amp;IFERROR(IF(Hoja1!D456="","",IF(MOD(Hoja1!D456,1)=0,DOLLAR(Hoja1!D456,0),DOLLAR(Hoja1!D456,2))),"")&amp;CHAR(10)&amp;CHAR(10)&amp;"🌱 "&amp;SUBSTITUTE(TRIM(Hoja1!A457),"  "," ")&amp;CHAR(10)&amp;"💰 "&amp;IFERROR(IF(Hoja1!D457="","",IF(MOD(Hoja1!D457,1)=0,DOLLAR(Hoja1!D457,0),DOLLAR(Hoja1!D457,2))),"")&amp;CHAR(10)&amp;CHAR(10)&amp;"🌱 "&amp;SUBSTITUTE(TRIM(Hoja1!A458),"  "," ")&amp;CHAR(10)&amp;"💰 "&amp;IFERROR(IF(Hoja1!D458="","",IF(MOD(Hoja1!D458,1)=0,DOLLAR(Hoja1!D458,0),DOLLAR(Hoja1!D458,2))),"")&amp;CHAR(10)&amp;CHAR(10)&amp;"🌱 "&amp;SUBSTITUTE(TRIM(Hoja1!A459),"  "," ")&amp;CHAR(10)&amp;"💰 "&amp;IFERROR(IF(Hoja1!D459="","",IF(MOD(Hoja1!D459,1)=0,DOLLAR(Hoja1!D459,0),DOLLAR(Hoja1!D459,2))),"")&amp;CHAR(10)&amp;CHAR(10)&amp;"🌱 "&amp;SUBSTITUTE(TRIM(Hoja1!A460),"  "," ")&amp;CHAR(10)&amp;"💰 "&amp;IFERROR(IF(Hoja1!D460="","",IF(MOD(Hoja1!D460,1)=0,DOLLAR(Hoja1!D460,0),DOLLAR(Hoja1!D460,2))),"")</f>
        <v>🌱 OMBÚ (PHYTOLACCA DIOICA)
📏 60 cm E. 4 lts
💰 $ 21.090 — s/stock
📏 60- 80 cm. E. 10 lts
💰 $ 33.300 — s/stock
📏 80-100 cm. E. 15 lts
💰 $ 58.600
🌱 Palmera Cycas Revoluta
💰 $ 0
🌱 E. 30 lts
💰 $ 257.875,20
🌱 E. 65 lts
💰 $ 467.398,80
🌱 E. 110 lts
💰 $ 789.742,80</v>
      </c>
    </row>
    <row r="135" spans="1:2" ht="120" customHeight="1" x14ac:dyDescent="0.25">
      <c r="A135" s="32" t="s">
        <v>725</v>
      </c>
      <c r="B135" s="32" t="str">
        <f>"🌱 PALMERA PINDÓ (ARECASTRUM ROMANZOFFIANUM)"&amp;CHAR(10)&amp;""&amp;CHAR(10)&amp;""&amp;"📏 "&amp;SUBSTITUTE(TRIM(Hoja1!A462),"  "," ")&amp;CHAR(10)&amp;"💰 "&amp;IFERROR(IF(Hoja1!D462="","",IF(MOD(Hoja1!D462,1)=0,DOLLAR(Hoja1!D462,0),DOLLAR(Hoja1!D462,2))),"")&amp;CHAR(10)&amp;CHAR(10)&amp;"📏 "&amp;SUBSTITUTE(TRIM(Hoja1!A463),"  "," ")&amp;CHAR(10)&amp;"💰 "&amp;IFERROR(IF(Hoja1!D463="","",IF(MOD(Hoja1!D463,1)=0,DOLLAR(Hoja1!D463,0),DOLLAR(Hoja1!D463,2))),"")&amp;CHAR(10)&amp;CHAR(10)&amp;"📏 "&amp;SUBSTITUTE(TRIM(Hoja1!A464),"  "," ")&amp;CHAR(10)&amp;"💰 "&amp;IFERROR(IF(Hoja1!D464="","",IF(MOD(Hoja1!D464,1)=0,DOLLAR(Hoja1!D464,0),DOLLAR(Hoja1!D464,2))),"")&amp;CHAR(10)&amp;CHAR(10)&amp;"📏 "&amp;SUBSTITUTE(TRIM(Hoja1!A465),"  "," ")&amp;CHAR(10)&amp;"💰 "&amp;IFERROR(IF(Hoja1!D465="","",IF(MOD(Hoja1!D465,1)=0,DOLLAR(Hoja1!D465,0),DOLLAR(Hoja1!D465,2))),"")</f>
        <v>🌱 PALMERA PINDÓ (ARECASTRUM ROMANZOFFIANUM)
📏 E. 4 lts 50cm
💰 $ 12.232
📏 E. 10 lts 180cm
💰 $ 27.000
📏 E. 30lts 250cm
💰 $ 150.000
📏 250-300cm de altura CULTIVADAS EN LA PROV. BS.AS.
💰 $ 549.450</v>
      </c>
    </row>
    <row r="136" spans="1:2" ht="120" customHeight="1" x14ac:dyDescent="0.25">
      <c r="A136" s="32" t="s">
        <v>726</v>
      </c>
      <c r="B136" s="32" t="str">
        <f>"🌱 PALMERA PHOENIX CANARIENSIS"&amp;CHAR(10)&amp;""&amp;CHAR(10)&amp;""&amp;"🌱 "&amp;SUBSTITUTE(TRIM(Hoja1!A467),"  "," ")&amp;CHAR(10)&amp;"💰 "&amp;IFERROR(IF(Hoja1!D467="","",IF(MOD(Hoja1!D467,1)=0,DOLLAR(Hoja1!D467,0),DOLLAR(Hoja1!D467,2))),"")&amp;IF(Hoja1!E467="","", " — "&amp;TRIM(Hoja1!E467))&amp;CHAR(10)&amp;CHAR(10)&amp;"🌱 "&amp;SUBSTITUTE(TRIM(Hoja1!A468),"  "," ")&amp;CHAR(10)&amp;"💰 "&amp;IFERROR(IF(Hoja1!D468="","",IF(MOD(Hoja1!D468,1)=0,DOLLAR(Hoja1!D468,0),DOLLAR(Hoja1!D468,2))),"")&amp;CHAR(10)&amp;CHAR(10)&amp;"🌱 "&amp;SUBSTITUTE(TRIM(Hoja1!A469),"  "," ")&amp;CHAR(10)&amp;"💰 "&amp;IFERROR(IF(Hoja1!D469="","",IF(MOD(Hoja1!D469,1)=0,DOLLAR(Hoja1!D469,0),DOLLAR(Hoja1!D469,2))),"")</f>
        <v>🌱 PALMERA PHOENIX CANARIENSIS
🌱 E. 4 lts
💰 $ 23.199 — s/stock
🌱 E. 10lts
💰 $ 48.000
🌱 E 15lts
💰 $ 76.500</v>
      </c>
    </row>
    <row r="137" spans="1:2" ht="120" customHeight="1" x14ac:dyDescent="0.25">
      <c r="A137" s="32" t="s">
        <v>413</v>
      </c>
      <c r="B137" s="32" t="str">
        <f>"🌱 PALMERA PHOENIX ROBELLINI"&amp;CHAR(10)&amp;""&amp;CHAR(10)&amp;""&amp;"🌱 "&amp;SUBSTITUTE(TRIM(Hoja1!A471),"  "," ")&amp;CHAR(10)&amp;"💰 "&amp;IFERROR(IF(Hoja1!D471="","",IF(MOD(Hoja1!D471,1)=0,DOLLAR(Hoja1!D471,0),DOLLAR(Hoja1!D471,2))),"")&amp;IF(Hoja1!E471="","", " — "&amp;TRIM(Hoja1!E471))&amp;CHAR(10)&amp;CHAR(10)&amp;"🌱 "&amp;SUBSTITUTE(TRIM(Hoja1!A472),"  "," ")&amp;CHAR(10)&amp;"💰 "&amp;IFERROR(IF(Hoja1!D472="","",IF(MOD(Hoja1!D472,1)=0,DOLLAR(Hoja1!D472,0),DOLLAR(Hoja1!D472,2))),"")&amp;CHAR(10)&amp;CHAR(10)&amp;"🌱 "&amp;SUBSTITUTE(TRIM(Hoja1!A473),"  "," ")&amp;CHAR(10)&amp;"💰 "&amp;IFERROR(IF(Hoja1!D473="","",IF(MOD(Hoja1!D473,1)=0,DOLLAR(Hoja1!D473,0),DOLLAR(Hoja1!D473,2))),"")&amp;IF(Hoja1!E473="","", " — "&amp;TRIM(Hoja1!E473))</f>
        <v>🌱 PALMERA PHOENIX ROBELLINI
🌱 E. 4 lts
💰 $ 29.304 — s/stock
🌱 E 10 Lts
💰 $ 43.000
🌱 E. 15 lts
💰 $ 99.000 — s/stock</v>
      </c>
    </row>
    <row r="138" spans="1:2" ht="120" customHeight="1" x14ac:dyDescent="0.25">
      <c r="A138" s="32" t="s">
        <v>416</v>
      </c>
      <c r="B138" s="32" t="str">
        <f>"🌱 PALMERA SEAFORTIA"&amp;CHAR(10)&amp;""&amp;CHAR(10)&amp;""&amp;"📏 "&amp;SUBSTITUTE(TRIM(Hoja1!A475),"  "," ")&amp;CHAR(10)&amp;"💰 "&amp;IFERROR(IF(Hoja1!D475="","",IF(MOD(Hoja1!D475,1)=0,DOLLAR(Hoja1!D475,0),DOLLAR(Hoja1!D475,2))),"")&amp;CHAR(10)&amp;CHAR(10)&amp;"📏 "&amp;SUBSTITUTE(TRIM(Hoja1!A476),"  "," ")&amp;CHAR(10)&amp;"💰 "&amp;IFERROR(IF(Hoja1!D476="","",IF(MOD(Hoja1!D476,1)=0,DOLLAR(Hoja1!D476,0),DOLLAR(Hoja1!D476,2))),"")&amp;CHAR(10)&amp;CHAR(10)&amp;"📏 "&amp;SUBSTITUTE(TRIM(Hoja1!A477),"  "," ")&amp;CHAR(10)&amp;"💰 "&amp;IFERROR(IF(Hoja1!D477="","",IF(MOD(Hoja1!D477,1)=0,DOLLAR(Hoja1!D477,0),DOLLAR(Hoja1!D477,2))),"")&amp;IF(Hoja1!E477="","", " — "&amp;TRIM(Hoja1!E477))</f>
        <v xml:space="preserve">🌱 PALMERA SEAFORTIA
📏 E. 10 lts 80cm
💰 $ 77.000
📏 E. 15 lts 100cm
💰 $ 94.000
📏 E. 20 lts 120cm
💰 $ 163.000 — </v>
      </c>
    </row>
    <row r="139" spans="1:2" ht="120" customHeight="1" x14ac:dyDescent="0.25">
      <c r="A139" s="32" t="s">
        <v>727</v>
      </c>
      <c r="B139" s="32" t="str">
        <f>"🌱 PALMERA WASHINGTONIA FILIFERA"&amp;CHAR(10)&amp;""&amp;CHAR(10)&amp;""&amp;"🌱 "&amp;SUBSTITUTE(TRIM(Hoja1!A479),"  "," ")&amp;CHAR(10)&amp;"💰 "&amp;IFERROR(IF(Hoja1!D479="","",IF(MOD(Hoja1!D479,1)=0,DOLLAR(Hoja1!D479,0),DOLLAR(Hoja1!D479,2))),"")&amp;CHAR(10)&amp;CHAR(10)&amp;"📏 "&amp;SUBSTITUTE(TRIM(Hoja1!A480),"  "," ")&amp;CHAR(10)&amp;"💰 "&amp;IFERROR(IF(Hoja1!D480="","",IF(MOD(Hoja1!D480,1)=0,DOLLAR(Hoja1!D480,0),DOLLAR(Hoja1!D480,2))),"")&amp;IF(Hoja1!E480="","", " — "&amp;TRIM(Hoja1!E480))</f>
        <v>🌱 PALMERA WASHINGTONIA FILIFERA
🌱 E. 4 lts
💰 $ 25.591,05
📏 E. 10 lts 60cm
💰 $ 37.823,25 — s/stock</v>
      </c>
    </row>
    <row r="140" spans="1:2" ht="120" customHeight="1" x14ac:dyDescent="0.25">
      <c r="A140" s="32" t="s">
        <v>728</v>
      </c>
      <c r="B140" s="32" t="str">
        <f>"🌱 PALO BORRACHO ROSADO (CHORISIA SPECIOSA)"&amp;CHAR(10)&amp;""&amp;CHAR(10)&amp;""&amp;"📏 "&amp;SUBSTITUTE(TRIM(Hoja1!A482),"  "," ")&amp;CHAR(10)&amp;"💰 "&amp;IFERROR(IF(Hoja1!D482="","",IF(MOD(Hoja1!D482,1)=0,DOLLAR(Hoja1!D482,0),DOLLAR(Hoja1!D482,2))),"")&amp;IF(Hoja1!E482="","", " — "&amp;TRIM(Hoja1!E482))&amp;CHAR(10)&amp;CHAR(10)&amp;"🌱 "&amp;SUBSTITUTE(TRIM(Hoja1!A483),"  "," ")&amp;CHAR(10)&amp;"💰 "&amp;IFERROR(IF(Hoja1!D483="","",IF(MOD(Hoja1!D483,1)=0,DOLLAR(Hoja1!D483,0),DOLLAR(Hoja1!D483,2))),"")&amp;IF(Hoja1!E483="","", " — "&amp;TRIM(Hoja1!E483))</f>
        <v>🌱 PALO BORRACHO ROSADO (CHORISIA SPECIOSA)
📏 150-180 cm. E. 4 lts
💰 $ 11.282,04 — s/stock
🌱 con copa E. 10 lts
💰 $ 19.340,64 — s/stock</v>
      </c>
    </row>
    <row r="141" spans="1:2" ht="120" customHeight="1" x14ac:dyDescent="0.25">
      <c r="A141" s="32" t="s">
        <v>729</v>
      </c>
      <c r="B141" s="32" t="str">
        <f>"🌱 PANICUM VIRGATUM"&amp;CHAR(10)&amp;""&amp;CHAR(10)&amp;""&amp;"🌱 "&amp;SUBSTITUTE(TRIM(Hoja1!A485),"  "," ")&amp;CHAR(10)&amp;"💰 "&amp;IFERROR(IF(Hoja1!D485="","",IF(MOD(Hoja1!D485,1)=0,DOLLAR(Hoja1!D485,0),DOLLAR(Hoja1!D485,2))),"")</f>
        <v>🌱 PANICUM VIRGATUM
🌱 E. 4 lts
💰 $ 8.900</v>
      </c>
    </row>
    <row r="142" spans="1:2" ht="120" customHeight="1" x14ac:dyDescent="0.25">
      <c r="A142" s="32" t="s">
        <v>730</v>
      </c>
      <c r="B142" s="32" t="str">
        <f>"🌱 PAPIROS (CYPERUS PAPYRUS)"&amp;CHAR(10)&amp;""&amp;CHAR(10)&amp;""&amp;"📏 "&amp;SUBSTITUTE(TRIM(Hoja1!A487),"  "," ")&amp;CHAR(10)&amp;"💰 "&amp;IFERROR(IF(Hoja1!D487="","",IF(MOD(Hoja1!D487,1)=0,DOLLAR(Hoja1!D487,0),DOLLAR(Hoja1!D487,2))),"")</f>
        <v>🌱 PAPIROS (CYPERUS PAPYRUS)
📏 E 10 lts. 200cm
💰 $ 32.967</v>
      </c>
    </row>
    <row r="143" spans="1:2" ht="120" customHeight="1" x14ac:dyDescent="0.25">
      <c r="A143" s="32" t="s">
        <v>428</v>
      </c>
      <c r="B143" s="32" t="str">
        <f>"🌱 PARASOL DE LA CHINA (FIRMIANA SIMPLEX)"&amp;CHAR(10)&amp;""&amp;CHAR(10)&amp;""&amp;"🌱 "&amp;SUBSTITUTE(TRIM(Hoja1!A489),"  "," ")&amp;CHAR(10)&amp;"💰 "&amp;IFERROR(IF(Hoja1!D489="","",IF(MOD(Hoja1!D489,1)=0,DOLLAR(Hoja1!D489,0),DOLLAR(Hoja1!D489,2))),"")&amp;CHAR(10)&amp;CHAR(10)&amp;"🌱 "&amp;SUBSTITUTE(TRIM(Hoja1!A490),"  "," ")&amp;CHAR(10)&amp;"💰 "&amp;IFERROR(IF(Hoja1!D490="","",IF(MOD(Hoja1!D490,1)=0,DOLLAR(Hoja1!D490,0),DOLLAR(Hoja1!D490,2))),"")&amp;IF(Hoja1!E490="","", " — "&amp;TRIM(Hoja1!E490))</f>
        <v>🌱 PARASOL DE LA CHINA (FIRMIANA SIMPLEX)
🌱 E. 15 lts
💰 $ 59.000
🌱 E. 20lts
💰 $ 80.586 — s/stock</v>
      </c>
    </row>
    <row r="144" spans="1:2" ht="120" customHeight="1" x14ac:dyDescent="0.25">
      <c r="A144" s="32" t="s">
        <v>731</v>
      </c>
      <c r="B144" s="32" t="str">
        <f>"🌱 PASPALUM HAUMANI"&amp;CHAR(10)&amp;""&amp;CHAR(10)&amp;""&amp;"📏 "&amp;SUBSTITUTE(TRIM(Hoja1!A492),"  "," ")&amp;CHAR(10)&amp;"💰 "&amp;IFERROR(IF(Hoja1!D492="","",IF(MOD(Hoja1!D492,1)=0,DOLLAR(Hoja1!D492,0),DOLLAR(Hoja1!D492,2))),"")</f>
        <v>🌱 PASPALUM HAUMANI
📏 10 lts.60cm
💰 $ 27.000</v>
      </c>
    </row>
    <row r="145" spans="1:2" ht="120" customHeight="1" x14ac:dyDescent="0.25">
      <c r="A145" s="32" t="s">
        <v>732</v>
      </c>
      <c r="B145" s="32" t="str">
        <f>"🌱 PASTO PALMERAS (SETARIA POIRETIANA)"&amp;CHAR(10)&amp;""&amp;CHAR(10)&amp;""&amp;"🌱 "&amp;SUBSTITUTE(TRIM(Hoja1!A494),"  "," ")&amp;CHAR(10)&amp;"💰 "&amp;IFERROR(IF(Hoja1!D494="","",IF(MOD(Hoja1!D494,1)=0,DOLLAR(Hoja1!D494,0),DOLLAR(Hoja1!D494,2))),"")</f>
        <v>🌱 PASTO PALMERAS (SETARIA POIRETIANA)
🌱 E. 4 lts
💰 $ 12.232</v>
      </c>
    </row>
    <row r="146" spans="1:2" ht="120" customHeight="1" x14ac:dyDescent="0.25">
      <c r="A146" s="32" t="s">
        <v>733</v>
      </c>
      <c r="B146" s="32" t="str">
        <f>"🌱 PENNISETUM ALOPECUROIDES (COLA DE ZORRO)"&amp;CHAR(10)&amp;""&amp;CHAR(10)&amp;""&amp;"🌱 "&amp;SUBSTITUTE(TRIM(Hoja1!A496),"  "," ")&amp;CHAR(10)&amp;"💰 "&amp;IFERROR(IF(Hoja1!D496="","",IF(MOD(Hoja1!D496,1)=0,DOLLAR(Hoja1!D496,0),DOLLAR(Hoja1!D496,2))),"")&amp;IF(Hoja1!E496="","", " — "&amp;TRIM(Hoja1!E496))</f>
        <v>🌱 PENNISETUM ALOPECUROIDES (COLA DE ZORRO)
🌱 E. 4 lts
💰 $ 8.900 — s/stock</v>
      </c>
    </row>
    <row r="147" spans="1:2" ht="120" customHeight="1" x14ac:dyDescent="0.25">
      <c r="A147" s="32" t="s">
        <v>734</v>
      </c>
      <c r="B147" s="32" t="str">
        <f>"🌱 PENNISETUM RUPELLI (COLA DE ZORRO ROSADA)"&amp;CHAR(10)&amp;""&amp;CHAR(10)&amp;""&amp;"🌱 "&amp;SUBSTITUTE(TRIM(Hoja1!A498),"  "," ")&amp;CHAR(10)&amp;"💰 "&amp;IFERROR(IF(Hoja1!D498="","",IF(MOD(Hoja1!D498,1)=0,DOLLAR(Hoja1!D498,0),DOLLAR(Hoja1!D498,2))),"")&amp;CHAR(10)&amp;CHAR(10)&amp;"🌱 "&amp;SUBSTITUTE(TRIM(Hoja1!A499),"  "," ")&amp;CHAR(10)&amp;"💰 "&amp;IFERROR(IF(Hoja1!D499="","",IF(MOD(Hoja1!D499,1)=0,DOLLAR(Hoja1!D499,0),DOLLAR(Hoja1!D499,2))),"")</f>
        <v>🌱 PENNISETUM RUPELLI (COLA DE ZORRO ROSADA)
🌱 E. 4 lts
💰 $ 8.900
🌱 OFERTA COMPRANDO 10 UNIDADES O MAS
💰 $ 8.500</v>
      </c>
    </row>
    <row r="148" spans="1:2" ht="120" customHeight="1" x14ac:dyDescent="0.25">
      <c r="A148" s="32" t="s">
        <v>735</v>
      </c>
      <c r="B148" s="32" t="str">
        <f>"🌱 PENNISETUM SETACEUM RUBRUM (COLA DE ZORRO RUBRA)"&amp;CHAR(10)&amp;""&amp;CHAR(10)&amp;""&amp;"🌱 "&amp;SUBSTITUTE(TRIM(Hoja1!A501),"  "," ")&amp;CHAR(10)&amp;"💰 "&amp;IFERROR(IF(Hoja1!D501="","",IF(MOD(Hoja1!D501,1)=0,DOLLAR(Hoja1!D501,0),DOLLAR(Hoja1!D501,2))),"")&amp;CHAR(10)&amp;CHAR(10)&amp;"🌱 "&amp;SUBSTITUTE(TRIM(Hoja1!A502),"  "," ")&amp;CHAR(10)&amp;"💰 "&amp;IFERROR(IF(Hoja1!D502="","",IF(MOD(Hoja1!D502,1)=0,DOLLAR(Hoja1!D502,0),DOLLAR(Hoja1!D502,2))),"")</f>
        <v>🌱 PENNISETUM SETACEUM RUBRUM (COLA DE ZORRO RUBRA)
🌱 E. 4 lts
💰 $ 8.900
🌱 OFERTA COMPRANDO 10 UNIDADES O MAS
💰 $ 8.500</v>
      </c>
    </row>
    <row r="149" spans="1:2" ht="120" customHeight="1" x14ac:dyDescent="0.25">
      <c r="A149" s="32" t="s">
        <v>736</v>
      </c>
      <c r="B149" s="32" t="str">
        <f>"🌱 PENNISETUM VILLOSUM (COLA DE ZORRO BLANCA)"&amp;CHAR(10)&amp;""&amp;CHAR(10)&amp;""&amp;"🌱 "&amp;SUBSTITUTE(TRIM(Hoja1!A504),"  "," ")&amp;CHAR(10)&amp;"💰 "&amp;IFERROR(IF(Hoja1!D504="","",IF(MOD(Hoja1!D504,1)=0,DOLLAR(Hoja1!D504,0),DOLLAR(Hoja1!D504,2))),"")&amp;CHAR(10)&amp;CHAR(10)&amp;"🌱 "&amp;SUBSTITUTE(TRIM(Hoja1!A505),"  "," ")&amp;CHAR(10)&amp;"💰 "&amp;IFERROR(IF(Hoja1!D505="","",IF(MOD(Hoja1!D505,1)=0,DOLLAR(Hoja1!D505,0),DOLLAR(Hoja1!D505,2))),"")</f>
        <v>🌱 PENNISETUM VILLOSUM (COLA DE ZORRO BLANCA)
🌱 E. 4 lts
💰 $ 8.900
🌱 OFERTA COMPRANDO 10 UNIDADES O MAS
💰 $ 8.500</v>
      </c>
    </row>
    <row r="150" spans="1:2" ht="120" customHeight="1" x14ac:dyDescent="0.25">
      <c r="A150" s="32" t="s">
        <v>737</v>
      </c>
      <c r="B150" s="32" t="str">
        <f>"🌱 PEZUÑA DE VACA (BAUHINIA FLORES BLANCA Y PURPURA)"&amp;CHAR(10)&amp;""&amp;CHAR(10)&amp;""&amp;"📏 "&amp;SUBSTITUTE(TRIM(Hoja1!A507),"  "," ")&amp;CHAR(10)&amp;"💰 "&amp;IFERROR(IF(Hoja1!D507="","",IF(MOD(Hoja1!D507,1)=0,DOLLAR(Hoja1!D507,0),DOLLAR(Hoja1!D507,2))),"")&amp;CHAR(10)&amp;CHAR(10)&amp;"📏 "&amp;SUBSTITUTE(TRIM(Hoja1!A508),"  "," ")&amp;CHAR(10)&amp;"💰 "&amp;IFERROR(IF(Hoja1!D508="","",IF(MOD(Hoja1!D508,1)=0,DOLLAR(Hoja1!D508,0),DOLLAR(Hoja1!D508,2))),"")&amp;CHAR(10)&amp;CHAR(10)&amp;"🌱 "&amp;SUBSTITUTE(TRIM(Hoja1!A509),"  "," ")&amp;CHAR(10)&amp;"💰 "&amp;IFERROR(IF(Hoja1!D509="","",IF(MOD(Hoja1!D509,1)=0,DOLLAR(Hoja1!D509,0),DOLLAR(Hoja1!D509,2))),"")&amp;IF(Hoja1!E509="","", " — "&amp;TRIM(Hoja1!E509))&amp;CHAR(10)&amp;CHAR(10)&amp;"🌱 "&amp;SUBSTITUTE(TRIM(Hoja1!A510),"  "," ")&amp;CHAR(10)&amp;"💰 "&amp;IFERROR(IF(Hoja1!D510="","",IF(MOD(Hoja1!D510,1)=0,DOLLAR(Hoja1!D510,0),DOLLAR(Hoja1!D510,2))),"")&amp;CHAR(10)&amp;CHAR(10)&amp;"🌱 "&amp;SUBSTITUTE(TRIM(Hoja1!A511),"  "," ")&amp;CHAR(10)&amp;"💰 "&amp;IFERROR(IF(Hoja1!D511="","",IF(MOD(Hoja1!D511,1)=0,DOLLAR(Hoja1!D511,0),DOLLAR(Hoja1!D511,2))),"")</f>
        <v>🌱 PEZUÑA DE VACA (BAUHINIA FLORES BLANCA Y PURPURA)
📏 varillon 4 lts. 120-140cm
💰 $ 19.000
📏 con copa 10 lts. 180cm
💰 $ 39.000
🌱 con copa 15 lts.
💰 $ 54.945 — s/stock
🌱 Philodendron Misionero
💰 
🌱 E..4lts
💰 $ 27.000</v>
      </c>
    </row>
    <row r="151" spans="1:2" ht="120" customHeight="1" x14ac:dyDescent="0.25">
      <c r="A151" s="32" t="s">
        <v>738</v>
      </c>
      <c r="B151" s="32" t="str">
        <f>"🌱 PHORMIUM TENAX (FORMIO VERDE)"&amp;CHAR(10)&amp;""&amp;CHAR(10)&amp;""&amp;"🌱 "&amp;SUBSTITUTE(TRIM(Hoja1!A513),"  "," ")&amp;CHAR(10)&amp;"💰 "&amp;IFERROR(IF(Hoja1!D513="","",IF(MOD(Hoja1!D513,1)=0,DOLLAR(Hoja1!D513,0),DOLLAR(Hoja1!D513,2))),"")</f>
        <v>🌱 PHORMIUM TENAX (FORMIO VERDE)
🌱 E. 10 lts
💰 $ 29.000</v>
      </c>
    </row>
    <row r="152" spans="1:2" ht="120" customHeight="1" x14ac:dyDescent="0.25">
      <c r="A152" s="32" t="s">
        <v>739</v>
      </c>
      <c r="B152" s="32" t="str">
        <f>"🌱 PHORMIUM TENAX ATROPURPUREA (FORMIO RUBRA)"&amp;CHAR(10)&amp;""&amp;CHAR(10)&amp;""&amp;"🌱 "&amp;SUBSTITUTE(TRIM(Hoja1!A515),"  "," ")&amp;CHAR(10)&amp;"💰 "&amp;IFERROR(IF(Hoja1!D515="","",IF(MOD(Hoja1!D515,1)=0,DOLLAR(Hoja1!D515,0),DOLLAR(Hoja1!D515,2))),"")</f>
        <v>🌱 PHORMIUM TENAX ATROPURPUREA (FORMIO RUBRA)
🌱 E. 10 lts
💰 $ 32.190</v>
      </c>
    </row>
    <row r="153" spans="1:2" ht="120" customHeight="1" x14ac:dyDescent="0.25">
      <c r="A153" s="32" t="s">
        <v>740</v>
      </c>
      <c r="B153" s="32" t="str">
        <f>"🌱 PHORMIUM TENAX ATROPURPUREA COMPACTO (FORMIO RUBRA ENANO)"&amp;CHAR(10)&amp;""&amp;CHAR(10)&amp;""&amp;"🌱 "&amp;SUBSTITUTE(TRIM(Hoja1!A517),"  "," ")&amp;CHAR(10)&amp;"💰 "&amp;IFERROR(IF(Hoja1!D517="","",IF(MOD(Hoja1!D517,1)=0,DOLLAR(Hoja1!D517,0),DOLLAR(Hoja1!D517,2))),"")</f>
        <v>🌱 PHORMIUM TENAX ATROPURPUREA COMPACTO (FORMIO RUBRA ENANO)
🌱 E. 10 lts
💰 $ 29.000</v>
      </c>
    </row>
    <row r="154" spans="1:2" ht="120" customHeight="1" x14ac:dyDescent="0.25">
      <c r="A154" s="32" t="s">
        <v>741</v>
      </c>
      <c r="B154" s="32" t="str">
        <f>"🌱 PHORMIUM TENAX BRONCEADO (FORMIO BRONCE)"&amp;CHAR(10)&amp;""&amp;CHAR(10)&amp;""&amp;"🌱 "&amp;SUBSTITUTE(TRIM(Hoja1!A519),"  "," ")&amp;CHAR(10)&amp;"💰 "&amp;IFERROR(IF(Hoja1!D519="","",IF(MOD(Hoja1!D519,1)=0,DOLLAR(Hoja1!D519,0),DOLLAR(Hoja1!D519,2))),"")</f>
        <v>🌱 PHORMIUM TENAX BRONCEADO (FORMIO BRONCE)
🌱 E, 10 lts
💰 $ 29.000</v>
      </c>
    </row>
    <row r="155" spans="1:2" ht="120" customHeight="1" x14ac:dyDescent="0.25">
      <c r="A155" s="32" t="s">
        <v>742</v>
      </c>
      <c r="B155" s="32" t="str">
        <f>"🌱 PHORMIUM TENAX MARGINATA ALBA (FORMIO DISCIPLINADO)"&amp;CHAR(10)&amp;""&amp;CHAR(10)&amp;""&amp;"🌱 "&amp;SUBSTITUTE(TRIM(Hoja1!A521),"  "," ")&amp;CHAR(10)&amp;"💰 "&amp;IFERROR(IF(Hoja1!D521="","",IF(MOD(Hoja1!D521,1)=0,DOLLAR(Hoja1!D521,0),DOLLAR(Hoja1!D521,2))),"")</f>
        <v>🌱 PHORMIUM TENAX MARGINATA ALBA (FORMIO DISCIPLINADO)
🌱 E. 10 lts
💰 $ 29.000</v>
      </c>
    </row>
    <row r="156" spans="1:2" ht="120" customHeight="1" x14ac:dyDescent="0.25">
      <c r="A156" s="32" t="s">
        <v>743</v>
      </c>
      <c r="B156" s="32" t="str">
        <f>"🌱 PHORMIUM TENAX MARGINATA ALBA COMPACTO (FORMIO DISCIPLINADO ENANO)"&amp;CHAR(10)&amp;""&amp;CHAR(10)&amp;""&amp;"🌱 "&amp;SUBSTITUTE(TRIM(Hoja1!A523),"  "," ")&amp;CHAR(10)&amp;"💰 "&amp;IFERROR(IF(Hoja1!D523="","",IF(MOD(Hoja1!D523,1)=0,DOLLAR(Hoja1!D523,0),DOLLAR(Hoja1!D523,2))),"")&amp;CHAR(10)&amp;CHAR(10)&amp;"🌱 "&amp;SUBSTITUTE(TRIM(Hoja1!A524),"  "," ")&amp;CHAR(10)&amp;"💰 "&amp;IFERROR(IF(Hoja1!D524="","",IF(MOD(Hoja1!D524,1)=0,DOLLAR(Hoja1!D524,0),DOLLAR(Hoja1!D524,2))),"")</f>
        <v>🌱 PHORMIUM TENAX MARGINATA ALBA COMPACTO (FORMIO DISCIPLINADO ENANO)
🌱 E. 4 lts
💰 $ 18.870
🌱 E. 10 lts
💰 $ 36.630</v>
      </c>
    </row>
    <row r="157" spans="1:2" ht="120" customHeight="1" x14ac:dyDescent="0.25">
      <c r="A157" s="32" t="s">
        <v>744</v>
      </c>
      <c r="B157" s="32" t="str">
        <f>"🌱 PHORMIUM TENAX SUNDWNER (FORMIO ROSADO)"&amp;CHAR(10)&amp;""&amp;CHAR(10)&amp;""&amp;"🌱 "&amp;SUBSTITUTE(TRIM(Hoja1!A526),"  "," ")&amp;CHAR(10)&amp;"💰 "&amp;IFERROR(IF(Hoja1!D526="","",IF(MOD(Hoja1!D526,1)=0,DOLLAR(Hoja1!D526,0),DOLLAR(Hoja1!D526,2))),"")&amp;CHAR(10)&amp;CHAR(10)&amp;"🌱 "&amp;SUBSTITUTE(TRIM(Hoja1!A527),"  "," ")&amp;CHAR(10)&amp;"💰 "&amp;IFERROR(IF(Hoja1!D527="","",IF(MOD(Hoja1!D527,1)=0,DOLLAR(Hoja1!D527,0),DOLLAR(Hoja1!D527,2))),"")</f>
        <v>🌱 PHORMIUM TENAX SUNDWNER (FORMIO ROSADO)
🌱 E. 4 lts
💰 $ 26.640
🌱 E. 10 lts
💰 $ 59.940</v>
      </c>
    </row>
    <row r="158" spans="1:2" ht="120" customHeight="1" x14ac:dyDescent="0.25">
      <c r="A158" s="32" t="s">
        <v>745</v>
      </c>
      <c r="B158" s="32" t="str">
        <f>"🌱 PHORMIUM TENAX TOM THUM"&amp;CHAR(10)&amp;""&amp;CHAR(10)&amp;""&amp;"🌱 "&amp;SUBSTITUTE(TRIM(Hoja1!A529),"  "," ")&amp;CHAR(10)&amp;"💰 "&amp;IFERROR(IF(Hoja1!D529="","",IF(MOD(Hoja1!D529,1)=0,DOLLAR(Hoja1!D529,0),DOLLAR(Hoja1!D529,2))),"")&amp;CHAR(10)&amp;CHAR(10)&amp;"🌱 "&amp;SUBSTITUTE(TRIM(Hoja1!A530),"  "," ")&amp;CHAR(10)&amp;"💰 "&amp;IFERROR(IF(Hoja1!D530="","",IF(MOD(Hoja1!D530,1)=0,DOLLAR(Hoja1!D530,0),DOLLAR(Hoja1!D530,2))),"")&amp;IF(Hoja1!E530="","", " — "&amp;TRIM(Hoja1!E530))</f>
        <v>🌱 PHORMIUM TENAX TOM THUM
🌱 E. 4 lts
💰 $ 18.870
🌱 E. 10 lts
💰 $ 36.630 — s/stock</v>
      </c>
    </row>
    <row r="159" spans="1:2" ht="120" customHeight="1" x14ac:dyDescent="0.25">
      <c r="A159" s="32" t="s">
        <v>746</v>
      </c>
      <c r="B159" s="32" t="str">
        <f>"🌱 PHOTINIA FRASSERI"&amp;CHAR(10)&amp;""&amp;CHAR(10)&amp;""&amp;"📏 "&amp;SUBSTITUTE(TRIM(Hoja1!A532),"  "," ")&amp;CHAR(10)&amp;"💰 "&amp;IFERROR(IF(Hoja1!D532="","",IF(MOD(Hoja1!D532,1)=0,DOLLAR(Hoja1!D532,0),DOLLAR(Hoja1!D532,2))),"")&amp;CHAR(10)&amp;CHAR(10)&amp;"📏 "&amp;SUBSTITUTE(TRIM(Hoja1!A533),"  "," ")&amp;CHAR(10)&amp;"💰 "&amp;IFERROR(IF(Hoja1!D533="","",IF(MOD(Hoja1!D533,1)=0,DOLLAR(Hoja1!D533,0),DOLLAR(Hoja1!D533,2))),"")&amp;CHAR(10)&amp;CHAR(10)&amp;"📏 "&amp;SUBSTITUTE(TRIM(Hoja1!A534),"  "," ")&amp;CHAR(10)&amp;"💰 "&amp;IFERROR(IF(Hoja1!D534="","",IF(MOD(Hoja1!D534,1)=0,DOLLAR(Hoja1!D534,0),DOLLAR(Hoja1!D534,2))),"")&amp;CHAR(10)&amp;CHAR(10)&amp;"📏 "&amp;SUBSTITUTE(TRIM(Hoja1!A535),"  "," ")&amp;CHAR(10)&amp;"💰 "&amp;IFERROR(IF(Hoja1!D535="","",IF(MOD(Hoja1!D535,1)=0,DOLLAR(Hoja1!D535,0),DOLLAR(Hoja1!D535,2))),"")</f>
        <v>🌱 PHOTINIA FRASSERI
📏 E 10 lts 100cm
💰 $ 39.000
📏 E 15 lts 140-150cm
💰 $ 57.000
📏 E 20 lts 180cm
💰 $ 74.000
📏 E 30 lts 200cm
💰 $ 99.000</v>
      </c>
    </row>
    <row r="160" spans="1:2" ht="120" customHeight="1" x14ac:dyDescent="0.25">
      <c r="A160" s="32" t="s">
        <v>747</v>
      </c>
      <c r="B160" s="32" t="str">
        <f>"🌱 PINUS ELLIOTTI"&amp;CHAR(10)&amp;""&amp;CHAR(10)&amp;""&amp;"📏 "&amp;SUBSTITUTE(TRIM(Hoja1!A537),"  "," ")&amp;CHAR(10)&amp;"💰 "&amp;IFERROR(IF(Hoja1!D537="","",IF(MOD(Hoja1!D537,1)=0,DOLLAR(Hoja1!D537,0),DOLLAR(Hoja1!D537,2))),"")&amp;CHAR(10)&amp;CHAR(10)&amp;"📏 "&amp;SUBSTITUTE(TRIM(Hoja1!A538),"  "," ")&amp;CHAR(10)&amp;"💰 "&amp;IFERROR(IF(Hoja1!D538="","",IF(MOD(Hoja1!D538,1)=0,DOLLAR(Hoja1!D538,0),DOLLAR(Hoja1!D538,2))),"")&amp;CHAR(10)&amp;CHAR(10)&amp;"📏 "&amp;SUBSTITUTE(TRIM(Hoja1!A539),"  "," ")&amp;CHAR(10)&amp;"💰 "&amp;IFERROR(IF(Hoja1!D539="","",IF(MOD(Hoja1!D539,1)=0,DOLLAR(Hoja1!D539,0),DOLLAR(Hoja1!D539,2))),"")&amp;CHAR(10)&amp;CHAR(10)&amp;"📏 "&amp;SUBSTITUTE(TRIM(Hoja1!A540),"  "," ")&amp;CHAR(10)&amp;"💰 "&amp;IFERROR(IF(Hoja1!D540="","",IF(MOD(Hoja1!D540,1)=0,DOLLAR(Hoja1!D540,0),DOLLAR(Hoja1!D540,2))),"")&amp;IF(Hoja1!E540="","", " — "&amp;TRIM(Hoja1!E540))</f>
        <v>🌱 PINUS ELLIOTTI
📏 80-100 cm. E. 4 lts.
💰 $ 19.000
📏 100-120 cm. E. 10 lts.
💰 $ 37.000
📏 120-150 cm alt.
💰 $ 57.000
📏 150-180 cm alt.
💰 $ 78.144 — s/stock</v>
      </c>
    </row>
    <row r="161" spans="1:2" ht="120" customHeight="1" x14ac:dyDescent="0.25">
      <c r="A161" s="32" t="s">
        <v>748</v>
      </c>
      <c r="B161" s="32" t="str">
        <f>"🌱 PITTOSPORUM TORIBA"&amp;CHAR(10)&amp;""&amp;CHAR(10)&amp;""&amp;"🌱 "&amp;SUBSTITUTE(TRIM(Hoja1!A542),"  "," ")&amp;CHAR(10)&amp;"💰 "&amp;IFERROR(IF(Hoja1!D542="","",IF(MOD(Hoja1!D542,1)=0,DOLLAR(Hoja1!D542,0),DOLLAR(Hoja1!D542,2))),"")&amp;CHAR(10)&amp;CHAR(10)&amp;"🌱 "&amp;SUBSTITUTE(TRIM(Hoja1!A543),"  "," ")&amp;CHAR(10)&amp;"💰 "&amp;IFERROR(IF(Hoja1!D543="","",IF(MOD(Hoja1!D543,1)=0,DOLLAR(Hoja1!D543,0),DOLLAR(Hoja1!D543,2))),"")</f>
        <v>🌱 PITTOSPORUM TORIBA
🌱 E. 4 lts
💰 $ 12.232
🌱 E. 10 lts
💰 $ 32.190</v>
      </c>
    </row>
    <row r="162" spans="1:2" ht="120" customHeight="1" x14ac:dyDescent="0.25">
      <c r="A162" s="32" t="s">
        <v>749</v>
      </c>
      <c r="B162" s="32" t="str">
        <f>"🌱 PITTOSPORUM TORIBA WHEELERI (AZARERO ENANO)"&amp;CHAR(10)&amp;""&amp;CHAR(10)&amp;""&amp;"🌱 "&amp;SUBSTITUTE(TRIM(Hoja1!A545),"  "," ")&amp;CHAR(10)&amp;"💰 "&amp;IFERROR(IF(Hoja1!D545="","",IF(MOD(Hoja1!D545,1)=0,DOLLAR(Hoja1!D545,0),DOLLAR(Hoja1!D545,2))),"")&amp;CHAR(10)&amp;CHAR(10)&amp;"🌱 "&amp;SUBSTITUTE(TRIM(Hoja1!A546),"  "," ")&amp;CHAR(10)&amp;"💰 "&amp;IFERROR(IF(Hoja1!D546="","",IF(MOD(Hoja1!D546,1)=0,DOLLAR(Hoja1!D546,0),DOLLAR(Hoja1!D546,2))),"")&amp;IF(Hoja1!E546="","", " — "&amp;TRIM(Hoja1!E546))&amp;CHAR(10)&amp;CHAR(10)&amp;"🌱 "&amp;SUBSTITUTE(TRIM(Hoja1!A547),"  "," ")&amp;CHAR(10)&amp;"💰 "&amp;IFERROR(IF(Hoja1!D547="","",IF(MOD(Hoja1!D547,1)=0,DOLLAR(Hoja1!D547,0),DOLLAR(Hoja1!D547,2))),"")&amp;CHAR(10)&amp;CHAR(10)&amp;"🌱 "&amp;SUBSTITUTE(TRIM(Hoja1!A548),"  "," ")&amp;CHAR(10)&amp;"💰 "&amp;IFERROR(IF(Hoja1!D548="","",IF(MOD(Hoja1!D548,1)=0,DOLLAR(Hoja1!D548,0),DOLLAR(Hoja1!D548,2))),"")&amp;IF(Hoja1!E548="","", " — "&amp;TRIM(Hoja1!E548))</f>
        <v>🌱 PITTOSPORUM TORIBA WHEELERI (AZARERO ENANO)
🌱 E. 4 lts
💰 $ 10.461,75
🌱 E. 4 lts OFERTA COMPRANDO 10 UNIDADES O MAS
💰 $ 9.956,70 — c/u
🌱 E. 10 lts
💰 $ 29.000
🌱 E. 10lts OFERTA COMPRANDO 10 UNIDADES O MAS
💰 $ 25.000 — c/u</v>
      </c>
    </row>
    <row r="163" spans="1:2" ht="120" customHeight="1" x14ac:dyDescent="0.25">
      <c r="A163" s="32" t="s">
        <v>750</v>
      </c>
      <c r="B163" s="32" t="str">
        <f>"🌱 PLÁTANO (PLATANUS ACERIFOLIA)"&amp;CHAR(10)&amp;""&amp;CHAR(10)&amp;""&amp;"📏 "&amp;SUBSTITUTE(TRIM(Hoja1!A550),"  "," ")&amp;CHAR(10)&amp;"💰 "&amp;IFERROR(IF(Hoja1!D550="","",IF(MOD(Hoja1!D550,1)=0,DOLLAR(Hoja1!D550,0),DOLLAR(Hoja1!D550,2))),"")&amp;CHAR(10)&amp;CHAR(10)&amp;"📏 "&amp;SUBSTITUTE(TRIM(Hoja1!A551),"  "," ")&amp;CHAR(10)&amp;"💰 "&amp;IFERROR(IF(Hoja1!D551="","",IF(MOD(Hoja1!D551,1)=0,DOLLAR(Hoja1!D551,0),DOLLAR(Hoja1!D551,2))),"")</f>
        <v>🌱 PLÁTANO (PLATANUS ACERIFOLIA)
📏 6-8 cm circunsferencia de tronco, altura180cm
💰 $ 72.000
📏 8-10 cm circ. 210cm
💰 $ 92.000</v>
      </c>
    </row>
    <row r="164" spans="1:2" ht="120" customHeight="1" x14ac:dyDescent="0.25">
      <c r="A164" s="32" t="s">
        <v>751</v>
      </c>
      <c r="B164" s="32" t="str">
        <f>"🌱 PRUNUS PISSARDI"&amp;CHAR(10)&amp;""&amp;CHAR(10)&amp;""&amp;"📏 "&amp;SUBSTITUTE(TRIM(Hoja1!A553),"  "," ")&amp;CHAR(10)&amp;"💰 "&amp;IFERROR(IF(Hoja1!D553="","",IF(MOD(Hoja1!D553,1)=0,DOLLAR(Hoja1!D553,0),DOLLAR(Hoja1!D553,2))),"")&amp;IF(Hoja1!E553="","", " — "&amp;TRIM(Hoja1!E553))&amp;CHAR(10)&amp;CHAR(10)&amp;"📏 "&amp;SUBSTITUTE(TRIM(Hoja1!A554),"  "," ")&amp;CHAR(10)&amp;"💰 "&amp;IFERROR(IF(Hoja1!D554="","",IF(MOD(Hoja1!D554,1)=0,DOLLAR(Hoja1!D554,0),DOLLAR(Hoja1!D554,2))),"")&amp;CHAR(10)&amp;CHAR(10)&amp;"📏 "&amp;SUBSTITUTE(TRIM(Hoja1!A555),"  "," ")&amp;CHAR(10)&amp;"💰 "&amp;IFERROR(IF(Hoja1!D555="","",IF(MOD(Hoja1!D555,1)=0,DOLLAR(Hoja1!D555,0),DOLLAR(Hoja1!D555,2))),"")&amp;CHAR(10)&amp;CHAR(10)&amp;"📏 "&amp;SUBSTITUTE(TRIM(Hoja1!A556),"  "," ")&amp;CHAR(10)&amp;"💰 "&amp;IFERROR(IF(Hoja1!D556="","",IF(MOD(Hoja1!D556,1)=0,DOLLAR(Hoja1!D556,0),DOLLAR(Hoja1!D556,2))),"")&amp;CHAR(10)&amp;CHAR(10)&amp;"🌱 "&amp;SUBSTITUTE(TRIM(Hoja1!A557),"  "," ")&amp;CHAR(10)&amp;CHAR(10)&amp;"🌱 "&amp;SUBSTITUTE(TRIM(Hoja1!A558),"  "," ")&amp;CHAR(10)&amp;"💰 "&amp;IFERROR(IF(Hoja1!D558="","",IF(MOD(Hoja1!D558,1)=0,DOLLAR(Hoja1!D558,0),DOLLAR(Hoja1!D558,2))),"")&amp;CHAR(10)&amp;CHAR(10)&amp;"🌱 "&amp;SUBSTITUTE(TRIM(Hoja1!A559),"  "," ")&amp;CHAR(10)&amp;"💰 "&amp;IFERROR(IF(Hoja1!D559="","",IF(MOD(Hoja1!D559,1)=0,DOLLAR(Hoja1!D559,0),DOLLAR(Hoja1!D559,2))),"")&amp;IF(Hoja1!E559="","", " — "&amp;TRIM(Hoja1!E559))</f>
        <v>🌱 PRUNUS PISSARDI
📏 E. 10 lts 180cmde altura arbolito
💰 $ 65.934 — s/stock
📏 E. 15 lts 210cm de altura arbolito
💰 $ 86.000
📏 E. 10 lts 100cm arbusto
💰 $ 27.000
📏 E. 15 lts 120cm arbusto
💰 $ 36.500
🌱 Rayito de sol Flor roja o blanca
🌱 E. 4lts
💰 $ 8.900
🌱 OFERTA COMPRANDO 10 UNIDADES O MAS
💰 $ 8.500 — c/u</v>
      </c>
    </row>
    <row r="165" spans="1:2" ht="120" customHeight="1" x14ac:dyDescent="0.25">
      <c r="A165" s="32" t="s">
        <v>752</v>
      </c>
      <c r="B165" s="32" t="str">
        <f>"🌱 RETAMA (SPARTIUM)"&amp;CHAR(10)&amp;""&amp;CHAR(10)&amp;""&amp;"🌱 "&amp;SUBSTITUTE(TRIM(Hoja1!A561),"  "," ")&amp;CHAR(10)&amp;"💰 "&amp;IFERROR(IF(Hoja1!D561="","",IF(MOD(Hoja1!D561,1)=0,DOLLAR(Hoja1!D561,0),DOLLAR(Hoja1!D561,2))),"")&amp;CHAR(10)&amp;CHAR(10)&amp;"🌱 "&amp;SUBSTITUTE(TRIM(Hoja1!A562),"  "," ")&amp;CHAR(10)&amp;"💰 "&amp;IFERROR(IF(Hoja1!D562="","",IF(MOD(Hoja1!D562,1)=0,DOLLAR(Hoja1!D562,0),DOLLAR(Hoja1!D562,2))),"")&amp;IF(Hoja1!E562="","", " — "&amp;TRIM(Hoja1!E562))</f>
        <v>🌱 RETAMA (SPARTIUM)
🌱 4 lts.
💰 $ 12.232
🌱 10 lts
💰 $ 26.717,70 — s/stock</v>
      </c>
    </row>
    <row r="166" spans="1:2" ht="120" customHeight="1" x14ac:dyDescent="0.25">
      <c r="A166" s="32" t="s">
        <v>753</v>
      </c>
      <c r="B166" s="32" t="str">
        <f>"🌱 RHUS SUCEDANEA"&amp;CHAR(10)&amp;""&amp;CHAR(10)&amp;""&amp;"📏 "&amp;SUBSTITUTE(TRIM(Hoja1!A564),"  "," ")&amp;CHAR(10)&amp;"💰 "&amp;IFERROR(IF(Hoja1!D564="","",IF(MOD(Hoja1!D564,1)=0,DOLLAR(Hoja1!D564,0),DOLLAR(Hoja1!D564,2))),"")&amp;CHAR(10)&amp;CHAR(10)&amp;"📏 "&amp;SUBSTITUTE(TRIM(Hoja1!A565),"  "," ")&amp;CHAR(10)&amp;"💰 "&amp;IFERROR(IF(Hoja1!D565="","",IF(MOD(Hoja1!D565,1)=0,DOLLAR(Hoja1!D565,0),DOLLAR(Hoja1!D565,2))),"")</f>
        <v>🌱 RHUS SUCEDANEA
📏 100-120 cm. E. 4 lts.
💰 $ 18.315
📏 210-250cm
💰 $ 79.000</v>
      </c>
    </row>
    <row r="167" spans="1:2" ht="120" customHeight="1" x14ac:dyDescent="0.25">
      <c r="A167" s="32" t="s">
        <v>754</v>
      </c>
      <c r="B167" s="32" t="str">
        <f>"🌱 ROSA BANKSIAE (ROSA BAENSIANA)"&amp;CHAR(10)&amp;""&amp;CHAR(10)&amp;""&amp;"🌱 "&amp;SUBSTITUTE(TRIM(Hoja1!A567),"  "," ")&amp;CHAR(10)&amp;"💰 "&amp;IFERROR(IF(Hoja1!D567="","",IF(MOD(Hoja1!D567,1)=0,DOLLAR(Hoja1!D567,0),DOLLAR(Hoja1!D567,2))),"")&amp;IF(Hoja1!E567="","", " — "&amp;TRIM(Hoja1!E567))&amp;CHAR(10)&amp;CHAR(10)&amp;"📏 "&amp;SUBSTITUTE(TRIM(Hoja1!A568),"  "," ")&amp;CHAR(10)&amp;"💰 "&amp;IFERROR(IF(Hoja1!D568="","",IF(MOD(Hoja1!D568,1)=0,DOLLAR(Hoja1!D568,0),DOLLAR(Hoja1!D568,2))),"")&amp;CHAR(10)&amp;CHAR(10)&amp;"🌱 "&amp;SUBSTITUTE(TRIM(Hoja1!A569),"  "," ")&amp;CHAR(10)&amp;"💰 "&amp;IFERROR(IF(Hoja1!D569="","",IF(MOD(Hoja1!D569,1)=0,DOLLAR(Hoja1!D569,0),DOLLAR(Hoja1!D569,2))),"")&amp;IF(Hoja1!E569="","", " — "&amp;TRIM(Hoja1!E569))&amp;CHAR(10)&amp;CHAR(10)&amp;"🌱 "&amp;SUBSTITUTE(TRIM(Hoja1!A570),"  "," ")&amp;CHAR(10)&amp;"💰 "&amp;IFERROR(IF(Hoja1!D570="","",IF(MOD(Hoja1!D570,1)=0,DOLLAR(Hoja1!D570,0),DOLLAR(Hoja1!D570,2))),"")&amp;IF(Hoja1!E570="","", " — "&amp;TRIM(Hoja1!E570))&amp;CHAR(10)&amp;CHAR(10)&amp;"🌱 "&amp;SUBSTITUTE(TRIM(Hoja1!A571),"  "," ")&amp;CHAR(10)&amp;"💰 "&amp;IFERROR(IF(Hoja1!D571="","",IF(MOD(Hoja1!D571,1)=0,DOLLAR(Hoja1!D571,0),DOLLAR(Hoja1!D571,2))),"")&amp;IF(Hoja1!E571="","", " — "&amp;TRIM(Hoja1!E571))</f>
        <v xml:space="preserve">🌱 ROSA BANKSIAE (ROSA BAENSIANA)
🌱 flores amarillas y blancas E. 4 lts
💰 $ 30.580,50 — s/stock
📏 ROSA ENREDADERA envasado 200-220cm
💰 $ 80.475
🌱 ROSA PIE BAJO S. PEDRO envasado
💰 $ 30.580,50 — 
🌱 ROSA PIE ALTO envasado
💰 $ 30.580,50 — 
🌱 ROSA PIE BAJO R. NEGRO envasado
💰 $ 30.580,50 — </v>
      </c>
    </row>
    <row r="168" spans="1:2" ht="120" customHeight="1" x14ac:dyDescent="0.25">
      <c r="A168" s="32" t="s">
        <v>755</v>
      </c>
      <c r="B168" s="32" t="str">
        <f>"🌱 RUELLIA"&amp;CHAR(10)&amp;""&amp;CHAR(10)&amp;""&amp;"🌱 "&amp;SUBSTITUTE(TRIM(Hoja1!A573),"  "," ")&amp;CHAR(10)&amp;"💰 "&amp;IFERROR(IF(Hoja1!D573="","",IF(MOD(Hoja1!D573,1)=0,DOLLAR(Hoja1!D573,0),DOLLAR(Hoja1!D573,2))),"")&amp;CHAR(10)&amp;CHAR(10)&amp;"🌱 "&amp;SUBSTITUTE(TRIM(Hoja1!A574),"  "," ")&amp;CHAR(10)&amp;"💰 "&amp;IFERROR(IF(Hoja1!D574="","",IF(MOD(Hoja1!D574,1)=0,DOLLAR(Hoja1!D574,0),DOLLAR(Hoja1!D574,2))),"")&amp;IF(Hoja1!E574="","", " — "&amp;TRIM(Hoja1!E574))</f>
        <v>🌱 RUELLIA
🌱 E. 4 lts
💰 $ 12.232
🌱 E. 10 lts
💰 $ 27.000 — s/stock</v>
      </c>
    </row>
    <row r="169" spans="1:2" ht="120" customHeight="1" x14ac:dyDescent="0.25">
      <c r="A169" s="32" t="s">
        <v>756</v>
      </c>
      <c r="B169" s="32" t="str">
        <f>"🌱 RUSCUS. (ACULEATUS)"&amp;CHAR(10)&amp;""&amp;CHAR(10)&amp;""&amp;"🌱 "&amp;SUBSTITUTE(TRIM(Hoja1!A576),"  "," ")&amp;CHAR(10)&amp;"💰 "&amp;IFERROR(IF(Hoja1!D576="","",IF(MOD(Hoja1!D576,1)=0,DOLLAR(Hoja1!D576,0),DOLLAR(Hoja1!D576,2))),"")</f>
        <v>🌱 RUSCUS. (ACULEATUS)
🌱 E. 10 lts OFERTA
💰 $ 27.000</v>
      </c>
    </row>
    <row r="170" spans="1:2" ht="120" customHeight="1" x14ac:dyDescent="0.25">
      <c r="A170" s="32" t="s">
        <v>757</v>
      </c>
      <c r="B170" s="32" t="str">
        <f>"🌱 ROMERO"&amp;CHAR(10)&amp;""&amp;CHAR(10)&amp;""&amp;"🌱 "&amp;SUBSTITUTE(TRIM(Hoja1!A578),"  "," ")&amp;CHAR(10)&amp;"💰 "&amp;IFERROR(IF(Hoja1!D578="","",IF(MOD(Hoja1!D578,1)=0,DOLLAR(Hoja1!D578,0),DOLLAR(Hoja1!D578,2))),"")&amp;IF(Hoja1!E578="","", " — "&amp;TRIM(Hoja1!E578))&amp;CHAR(10)&amp;CHAR(10)&amp;"🌱 "&amp;SUBSTITUTE(TRIM(Hoja1!A579),"  "," ")&amp;CHAR(10)&amp;"💰 "&amp;IFERROR(IF(Hoja1!D579="","",IF(MOD(Hoja1!D579,1)=0,DOLLAR(Hoja1!D579,0),DOLLAR(Hoja1!D579,2))),"")</f>
        <v>🌱 ROMERO
🌱 E. 4 lts
💰 $ 8.900 — 
🌱 OFERTA COMPRANDO 10 UNIDADES X 4LTS
💰 $ 8.500</v>
      </c>
    </row>
    <row r="171" spans="1:2" ht="120" customHeight="1" x14ac:dyDescent="0.25">
      <c r="A171" s="32" t="s">
        <v>493</v>
      </c>
      <c r="B171" s="32" t="str">
        <f>"🌱 SANSEVIERIA (LENGUA DE SUEGRA- ESPADA SAN JORGE) AUREA O VERDE"&amp;CHAR(10)&amp;""&amp;CHAR(10)&amp;""&amp;"🌱 "&amp;SUBSTITUTE(TRIM(Hoja1!A581),"  "," ")&amp;CHAR(10)&amp;"💰 "&amp;IFERROR(IF(Hoja1!D581="","",IF(MOD(Hoja1!D581,1)=0,DOLLAR(Hoja1!D581,0),DOLLAR(Hoja1!D581,2))),"")&amp;CHAR(10)&amp;CHAR(10)&amp;"🌱 "&amp;SUBSTITUTE(TRIM(Hoja1!A582),"  "," ")&amp;CHAR(10)&amp;"💰 "&amp;IFERROR(IF(Hoja1!D582="","",IF(MOD(Hoja1!D582,1)=0,DOLLAR(Hoja1!D582,0),DOLLAR(Hoja1!D582,2))),"")&amp;IF(Hoja1!E582="","", " — "&amp;TRIM(Hoja1!E582))</f>
        <v>🌱 SANSEVIERIA (LENGUA DE SUEGRA- ESPADA SAN JORGE) AUREA O VERDE
🌱 E. 4 lts
💰 $ 12.232
🌱 OFERTA 10 UNIDADES E. 4lts
💰 $ 11.500 — c/u</v>
      </c>
    </row>
    <row r="172" spans="1:2" ht="120" customHeight="1" x14ac:dyDescent="0.25">
      <c r="A172" s="32" t="s">
        <v>758</v>
      </c>
      <c r="B172" s="32" t="str">
        <f>"🌱 SANTA RITA (BOUGAINVILLEA GLABRA)"&amp;CHAR(10)&amp;""&amp;CHAR(10)&amp;""&amp;"📏 "&amp;SUBSTITUTE(TRIM(Hoja1!A584),"  "," ")&amp;CHAR(10)&amp;"💰 "&amp;IFERROR(IF(Hoja1!D584="","",IF(MOD(Hoja1!D584,1)=0,DOLLAR(Hoja1!D584,0),DOLLAR(Hoja1!D584,2))),"")&amp;IF(Hoja1!E584="","", " — "&amp;TRIM(Hoja1!E584))</f>
        <v>🌱 SANTA RITA (BOUGAINVILLEA GLABRA)
📏 100-120cm cm. E. 4 lts
💰 $ 15.084,23 — s/stock</v>
      </c>
    </row>
    <row r="173" spans="1:2" ht="120" customHeight="1" x14ac:dyDescent="0.25">
      <c r="A173" s="32" t="s">
        <v>759</v>
      </c>
      <c r="B173" s="32" t="str">
        <f>"🌱 SANTOLINA. (CHAMAECYPARISSUS)"&amp;CHAR(10)&amp;""&amp;CHAR(10)&amp;""&amp;"🌱 "&amp;SUBSTITUTE(TRIM(Hoja1!A586),"  "," ")&amp;CHAR(10)&amp;"💰 "&amp;IFERROR(IF(Hoja1!D586="","",IF(MOD(Hoja1!D586,1)=0,DOLLAR(Hoja1!D586,0),DOLLAR(Hoja1!D586,2))),"")</f>
        <v>🌱 SANTOLINA. (CHAMAECYPARISSUS)
🌱 E. 4 lts
💰 $ 12.232</v>
      </c>
    </row>
    <row r="174" spans="1:2" ht="120" customHeight="1" x14ac:dyDescent="0.25">
      <c r="A174" s="32" t="s">
        <v>760</v>
      </c>
      <c r="B174" s="32" t="str">
        <f>"🌱 SAUCE LLORON (SALIX BABILONICA)"&amp;CHAR(10)&amp;""&amp;CHAR(10)&amp;""&amp;"📏 "&amp;SUBSTITUTE(TRIM(Hoja1!A588),"  "," ")&amp;CHAR(10)&amp;"💰 "&amp;IFERROR(IF(Hoja1!D588="","",IF(MOD(Hoja1!D588,1)=0,DOLLAR(Hoja1!D588,0),DOLLAR(Hoja1!D588,2))),"")&amp;IF(Hoja1!E588="","", " — "&amp;TRIM(Hoja1!E588))&amp;CHAR(10)&amp;CHAR(10)&amp;"📏 "&amp;SUBSTITUTE(TRIM(Hoja1!A589),"  "," ")&amp;CHAR(10)&amp;"💰 "&amp;IFERROR(IF(Hoja1!D589="","",IF(MOD(Hoja1!D589,1)=0,DOLLAR(Hoja1!D589,0),DOLLAR(Hoja1!D589,2))),"")&amp;CHAR(10)&amp;CHAR(10)&amp;"📏 "&amp;SUBSTITUTE(TRIM(Hoja1!A590),"  "," ")&amp;CHAR(10)&amp;"💰 "&amp;IFERROR(IF(Hoja1!D590="","",IF(MOD(Hoja1!D590,1)=0,DOLLAR(Hoja1!D590,0),DOLLAR(Hoja1!D590,2))),"")&amp;IF(Hoja1!E590="","", " — "&amp;TRIM(Hoja1!E590))</f>
        <v>🌱 SAUCE LLORON (SALIX BABILONICA)
📏 con copa, 4-6 cm. E. 10 lts. 200-220cm
💰 $ 28.083 — s/stock
📏 con copa, 6-8 cm. E. 15 lts. 200-220cm
💰 $ 40.800
📏 con copa, 8-10 cm. E. 20 lts. 200-220cm
💰 $ 78.144 — s/stock</v>
      </c>
    </row>
    <row r="175" spans="1:2" ht="120" customHeight="1" x14ac:dyDescent="0.25">
      <c r="A175" s="32" t="s">
        <v>761</v>
      </c>
      <c r="B175" s="32" t="str">
        <f>"🌱 SALVIAS GUARANITICA / LEUCANTHAS / WENDY / FARINACEA"&amp;CHAR(10)&amp;""&amp;CHAR(10)&amp;""&amp;"🌱 "&amp;SUBSTITUTE(TRIM(Hoja1!A592),"  "," ")&amp;CHAR(10)&amp;"💰 "&amp;IFERROR(IF(Hoja1!D592="","",IF(MOD(Hoja1!D592,1)=0,DOLLAR(Hoja1!D592,0),DOLLAR(Hoja1!D592,2))),"")&amp;CHAR(10)&amp;CHAR(10)&amp;"🌱 "&amp;SUBSTITUTE(TRIM(Hoja1!A593),"  "," ")&amp;CHAR(10)&amp;"💰 "&amp;IFERROR(IF(Hoja1!D593="","",IF(MOD(Hoja1!D593,1)=0,DOLLAR(Hoja1!D593,0),DOLLAR(Hoja1!D593,2))),"")</f>
        <v>🌱 SALVIAS GUARANITICA / LEUCANTHAS / WENDY / FARINACEA
🌱 E. 4 lts
💰 $ 8.900
🌱 OFERTA COMPRANDO 10 UNIDADES X 4LTS
💰 $ 8.500</v>
      </c>
    </row>
    <row r="176" spans="1:2" ht="120" customHeight="1" x14ac:dyDescent="0.25">
      <c r="A176" s="32" t="s">
        <v>762</v>
      </c>
      <c r="B176" s="32" t="str">
        <f>"🌱 SEN DE CAMPO (SENNA CORYMBOSA)"&amp;CHAR(10)&amp;""&amp;CHAR(10)&amp;""&amp;"📏 "&amp;SUBSTITUTE(TRIM(Hoja1!A595),"  "," ")&amp;CHAR(10)&amp;"💰 "&amp;IFERROR(IF(Hoja1!D595="","",IF(MOD(Hoja1!D595,1)=0,DOLLAR(Hoja1!D595,0),DOLLAR(Hoja1!D595,2))),"")&amp;CHAR(10)&amp;CHAR(10)&amp;"📏 "&amp;SUBSTITUTE(TRIM(Hoja1!A596),"  "," ")&amp;CHAR(10)&amp;"💰 "&amp;IFERROR(IF(Hoja1!D596="","",IF(MOD(Hoja1!D596,1)=0,DOLLAR(Hoja1!D596,0),DOLLAR(Hoja1!D596,2))),"")</f>
        <v>🌱 SEN DE CAMPO (SENNA CORYMBOSA)
📏 120-150 cm E. 4 lts
💰 $ 15.000
📏 150-180 cm E. 10 lts
💰 $ 55.000</v>
      </c>
    </row>
    <row r="177" spans="1:2" ht="120" customHeight="1" x14ac:dyDescent="0.25">
      <c r="A177" s="32" t="s">
        <v>507</v>
      </c>
      <c r="B177" s="32" t="str">
        <f>"🌱 STIPAS"&amp;CHAR(10)&amp;""&amp;CHAR(10)&amp;""&amp;"🌱 "&amp;SUBSTITUTE(TRIM(Hoja1!A598),"  "," ")&amp;CHAR(10)&amp;"💰 "&amp;IFERROR(IF(Hoja1!D598="","",IF(MOD(Hoja1!D598,1)=0,DOLLAR(Hoja1!D598,0),DOLLAR(Hoja1!D598,2))),"")&amp;IF(Hoja1!E598="","", " — "&amp;TRIM(Hoja1!E598))&amp;CHAR(10)&amp;CHAR(10)&amp;"🌱 "&amp;SUBSTITUTE(TRIM(Hoja1!A599),"  "," ")&amp;CHAR(10)&amp;"💰 "&amp;IFERROR(IF(Hoja1!D599="","",IF(MOD(Hoja1!D599,1)=0,DOLLAR(Hoja1!D599,0),DOLLAR(Hoja1!D599,2))),"")</f>
        <v>🌱 STIPAS
🌱 E. 4 lts
💰 $ 8.900 — 
🌱 OFERTA COMPRANDO 10 UNIDADES X 4LTS
💰 $ 8.500</v>
      </c>
    </row>
    <row r="178" spans="1:2" ht="120" customHeight="1" x14ac:dyDescent="0.25">
      <c r="A178" s="32" t="s">
        <v>763</v>
      </c>
      <c r="B178" s="32" t="str">
        <f>"🌱 STRELITZIA NICOLAI (FLOR DEL PAJARO BLANCA)"&amp;CHAR(10)&amp;""&amp;CHAR(10)&amp;""&amp;"📏 "&amp;SUBSTITUTE(TRIM(Hoja1!A601),"  "," ")&amp;CHAR(10)&amp;"💰 "&amp;IFERROR(IF(Hoja1!D601="","",IF(MOD(Hoja1!D601,1)=0,DOLLAR(Hoja1!D601,0),DOLLAR(Hoja1!D601,2))),"")&amp;CHAR(10)&amp;CHAR(10)&amp;"📏 "&amp;SUBSTITUTE(TRIM(Hoja1!A602),"  "," ")&amp;CHAR(10)&amp;"💰 "&amp;IFERROR(IF(Hoja1!D602="","",IF(MOD(Hoja1!D602,1)=0,DOLLAR(Hoja1!D602,0),DOLLAR(Hoja1!D602,2))),"")&amp;CHAR(10)&amp;CHAR(10)&amp;"📏 "&amp;SUBSTITUTE(TRIM(Hoja1!A603),"  "," ")&amp;CHAR(10)&amp;"💰 "&amp;IFERROR(IF(Hoja1!D603="","",IF(MOD(Hoja1!D603,1)=0,DOLLAR(Hoja1!D603,0),DOLLAR(Hoja1!D603,2))),"")&amp;CHAR(10)&amp;CHAR(10)&amp;"📏 "&amp;SUBSTITUTE(TRIM(Hoja1!A604),"  "," ")&amp;CHAR(10)&amp;"💰 "&amp;IFERROR(IF(Hoja1!D604="","",IF(MOD(Hoja1!D604,1)=0,DOLLAR(Hoja1!D604,0),DOLLAR(Hoja1!D604,2))),"")</f>
        <v>🌱 STRELITZIA NICOLAI (FLOR DEL PAJARO BLANCA)
📏 100-120 cm. E. 4 lts.
💰 $ 79.365
📏 120-150 cm. E. 10 lts.
💰 $ 133.089
📏 150-180 cm E, 20 lts
💰 $ 219.780
📏 180cm, 2 plantas por maceta x 60lts
💰 $ 366.300</v>
      </c>
    </row>
    <row r="179" spans="1:2" ht="120" customHeight="1" x14ac:dyDescent="0.25">
      <c r="A179" s="32" t="s">
        <v>764</v>
      </c>
      <c r="B179" s="32" t="str">
        <f>"🌱 STRELITZIA REGINAE (FLOR DEL PAJARO)"&amp;CHAR(10)&amp;""&amp;CHAR(10)&amp;""&amp;"🌱 "&amp;SUBSTITUTE(TRIM(Hoja1!A606),"  "," ")&amp;CHAR(10)&amp;"💰 "&amp;IFERROR(IF(Hoja1!D606="","",IF(MOD(Hoja1!D606,1)=0,DOLLAR(Hoja1!D606,0),DOLLAR(Hoja1!D606,2))),"")&amp;CHAR(10)&amp;CHAR(10)&amp;"🌱 "&amp;SUBSTITUTE(TRIM(Hoja1!A607),"  "," ")&amp;CHAR(10)&amp;"💰 "&amp;IFERROR(IF(Hoja1!D607="","",IF(MOD(Hoja1!D607,1)=0,DOLLAR(Hoja1!D607,0),DOLLAR(Hoja1!D607,2))),"")</f>
        <v>🌱 STRELITZIA REGINAE (FLOR DEL PAJARO)
🌱 E. 4 lts
💰 $ 28.000
🌱 E. 10 lts
💰 $ 41.000</v>
      </c>
    </row>
    <row r="180" spans="1:2" ht="120" customHeight="1" x14ac:dyDescent="0.25">
      <c r="A180" s="32" t="s">
        <v>765</v>
      </c>
      <c r="B180" s="32" t="str">
        <f>"🌱 TAMARISCO (TAMARIX RAMOSISSIMA)"&amp;CHAR(10)&amp;""&amp;CHAR(10)&amp;""&amp;"🌱 "&amp;SUBSTITUTE(TRIM(Hoja1!A609),"  "," ")&amp;CHAR(10)&amp;"💰 "&amp;IFERROR(IF(Hoja1!D609="","",IF(MOD(Hoja1!D609,1)=0,DOLLAR(Hoja1!D609,0),DOLLAR(Hoja1!D609,2))),"")&amp;IF(Hoja1!E609="","", " — "&amp;TRIM(Hoja1!E609))&amp;CHAR(10)&amp;CHAR(10)&amp;"🌱 "&amp;SUBSTITUTE(TRIM(Hoja1!A610),"  "," ")&amp;CHAR(10)&amp;"💰 "&amp;IFERROR(IF(Hoja1!D610="","",IF(MOD(Hoja1!D610,1)=0,DOLLAR(Hoja1!D610,0),DOLLAR(Hoja1!D610,2))),"")&amp;IF(Hoja1!E610="","", " — "&amp;TRIM(Hoja1!E610))</f>
        <v>🌱 TAMARISCO (TAMARIX RAMOSISSIMA)
🌱 E. 4 lts
💰 $ 19.314 — s/stock
🌱 E. 10 lts
💰 $ 40.237,50 — s/stock</v>
      </c>
    </row>
    <row r="181" spans="1:2" ht="120" customHeight="1" x14ac:dyDescent="0.25">
      <c r="A181" s="32" t="s">
        <v>766</v>
      </c>
      <c r="B181" s="32" t="str">
        <f>"🌱 TAXODIUM DISTICHUM (CIPRES CALVO)"&amp;CHAR(10)&amp;""&amp;CHAR(10)&amp;""&amp;"📏 "&amp;SUBSTITUTE(TRIM(Hoja1!A612),"  "," ")&amp;CHAR(10)&amp;"💰 "&amp;IFERROR(IF(Hoja1!D612="","",IF(MOD(Hoja1!D612,1)=0,DOLLAR(Hoja1!D612,0),DOLLAR(Hoja1!D612,2))),"")&amp;IF(Hoja1!E612="","", " — "&amp;TRIM(Hoja1!E612))&amp;CHAR(10)&amp;CHAR(10)&amp;"📏 "&amp;SUBSTITUTE(TRIM(Hoja1!A613),"  "," ")&amp;CHAR(10)&amp;"💰 "&amp;IFERROR(IF(Hoja1!D613="","",IF(MOD(Hoja1!D613,1)=0,DOLLAR(Hoja1!D613,0),DOLLAR(Hoja1!D613,2))),"")&amp;IF(Hoja1!E613="","", " — "&amp;TRIM(Hoja1!E613))&amp;CHAR(10)&amp;CHAR(10)&amp;"📏 "&amp;SUBSTITUTE(TRIM(Hoja1!A614),"  "," ")&amp;CHAR(10)&amp;"💰 "&amp;IFERROR(IF(Hoja1!D614="","",IF(MOD(Hoja1!D614,1)=0,DOLLAR(Hoja1!D614,0),DOLLAR(Hoja1!D614,2))),"")</f>
        <v>🌱 TAXODIUM DISTICHUM (CIPRES CALVO)
📏 120-150 cm.
💰 $ 58.608 — s/stock
📏 150-180 cm.
💰 $ 67.155 — 
📏 180-210 cm. .
💰 $ 78.144</v>
      </c>
    </row>
    <row r="182" spans="1:2" ht="120" customHeight="1" x14ac:dyDescent="0.25">
      <c r="A182" s="32" t="s">
        <v>519</v>
      </c>
      <c r="B182" s="32" t="str">
        <f>"🌱 TENCRIUM FRUTICANS"&amp;CHAR(10)&amp;""&amp;CHAR(10)&amp;""&amp;"📏 "&amp;SUBSTITUTE(TRIM(Hoja1!A616),"  "," ")&amp;CHAR(10)&amp;"💰 "&amp;IFERROR(IF(Hoja1!D616="","",IF(MOD(Hoja1!D616,1)=0,DOLLAR(Hoja1!D616,0),DOLLAR(Hoja1!D616,2))),"")&amp;CHAR(10)&amp;CHAR(10)&amp;"📏 "&amp;SUBSTITUTE(TRIM(Hoja1!A617),"  "," ")&amp;CHAR(10)&amp;"💰 "&amp;IFERROR(IF(Hoja1!D617="","",IF(MOD(Hoja1!D617,1)=0,DOLLAR(Hoja1!D617,0),DOLLAR(Hoja1!D617,2))),"")</f>
        <v>🌱 TENCRIUM FRUTICANS
📏 E. 4lts 100-120cm
💰 $ 12.232
📏 E. 10lts 150-180cm
💰 $ 27.000</v>
      </c>
    </row>
    <row r="183" spans="1:2" ht="120" customHeight="1" x14ac:dyDescent="0.25">
      <c r="A183" s="32" t="s">
        <v>522</v>
      </c>
      <c r="B183" s="32" t="str">
        <f>"🌱 THEVETIA PERUVIANA"&amp;CHAR(10)&amp;""&amp;CHAR(10)&amp;""&amp;"📏 "&amp;SUBSTITUTE(TRIM(Hoja1!A619),"  "," ")&amp;CHAR(10)&amp;"💰 "&amp;IFERROR(IF(Hoja1!D619="","",IF(MOD(Hoja1!D619,1)=0,DOLLAR(Hoja1!D619,0),DOLLAR(Hoja1!D619,2))),"")&amp;CHAR(10)&amp;CHAR(10)&amp;"📏 "&amp;SUBSTITUTE(TRIM(Hoja1!A620),"  "," ")&amp;CHAR(10)&amp;"💰 "&amp;IFERROR(IF(Hoja1!D620="","",IF(MOD(Hoja1!D620,1)=0,DOLLAR(Hoja1!D620,0),DOLLAR(Hoja1!D620,2))),"")</f>
        <v>🌱 THEVETIA PERUVIANA
📏 100-120cm
💰 $ 32.000
📏 150-180cm
💰 $ 59.000</v>
      </c>
    </row>
    <row r="184" spans="1:2" ht="120" customHeight="1" x14ac:dyDescent="0.25">
      <c r="A184" s="32" t="s">
        <v>767</v>
      </c>
      <c r="B184" s="32" t="str">
        <f>"🌱 TILIA MOLTKEI (TILO)"&amp;CHAR(10)&amp;""&amp;CHAR(10)&amp;""&amp;"📏 "&amp;SUBSTITUTE(TRIM(Hoja1!A622),"  "," ")&amp;CHAR(10)&amp;"💰 "&amp;IFERROR(IF(Hoja1!D622="","",IF(MOD(Hoja1!D622,1)=0,DOLLAR(Hoja1!D622,0),DOLLAR(Hoja1!D622,2))),"")&amp;CHAR(10)&amp;CHAR(10)&amp;"📏 "&amp;SUBSTITUTE(TRIM(Hoja1!A623),"  "," ")&amp;CHAR(10)&amp;"💰 "&amp;IFERROR(IF(Hoja1!D623="","",IF(MOD(Hoja1!D623,1)=0,DOLLAR(Hoja1!D623,0),DOLLAR(Hoja1!D623,2))),"")&amp;CHAR(10)&amp;CHAR(10)&amp;"📏 "&amp;SUBSTITUTE(TRIM(Hoja1!A624),"  "," ")&amp;CHAR(10)&amp;"💰 "&amp;IFERROR(IF(Hoja1!D624="","",IF(MOD(Hoja1!D624,1)=0,DOLLAR(Hoja1!D624,0),DOLLAR(Hoja1!D624,2))),"")&amp;CHAR(10)&amp;CHAR(10)&amp;"📏 "&amp;SUBSTITUTE(TRIM(Hoja1!A625),"  "," ")&amp;CHAR(10)&amp;"💰 "&amp;IFERROR(IF(Hoja1!D625="","",IF(MOD(Hoja1!D625,1)=0,DOLLAR(Hoja1!D625,0),DOLLAR(Hoja1!D625,2))),"")&amp;CHAR(10)&amp;CHAR(10)&amp;"🌱 "&amp;SUBSTITUTE(TRIM(Hoja1!A626),"  "," ")&amp;CHAR(10)&amp;"💰 "&amp;IFERROR(IF(Hoja1!D626="","",IF(MOD(Hoja1!D626,1)=0,DOLLAR(Hoja1!D626,0),DOLLAR(Hoja1!D626,2))),"")&amp;CHAR(10)&amp;CHAR(10)&amp;"📏 "&amp;SUBSTITUTE(TRIM(Hoja1!A627),"  "," ")&amp;CHAR(10)&amp;"💰 "&amp;IFERROR(IF(Hoja1!D627="","",IF(MOD(Hoja1!D627,1)=0,DOLLAR(Hoja1!D627,0),DOLLAR(Hoja1!D627,2))),"")&amp;CHAR(10)&amp;CHAR(10)&amp;"📏 "&amp;SUBSTITUTE(TRIM(Hoja1!A628),"  "," ")&amp;CHAR(10)&amp;"💰 "&amp;IFERROR(IF(Hoja1!D628="","",IF(MOD(Hoja1!D628,1)=0,DOLLAR(Hoja1!D628,0),DOLLAR(Hoja1!D628,2))),"")&amp;CHAR(10)&amp;CHAR(10)&amp;"📏 "&amp;SUBSTITUTE(TRIM(Hoja1!A629),"  "," ")&amp;CHAR(10)&amp;"💰 "&amp;IFERROR(IF(Hoja1!D629="","",IF(MOD(Hoja1!D629,1)=0,DOLLAR(Hoja1!D629,0),DOLLAR(Hoja1!D629,2))),"")&amp;CHAR(10)&amp;CHAR(10)&amp;"📏 "&amp;SUBSTITUTE(TRIM(Hoja1!A630),"  "," ")&amp;CHAR(10)&amp;"💰 "&amp;IFERROR(IF(Hoja1!D630="","",IF(MOD(Hoja1!D630,1)=0,DOLLAR(Hoja1!D630,0),DOLLAR(Hoja1!D630,2))),"")</f>
        <v>🌱 TILIA MOLTKEI (TILO)
📏 con copa, 6-8 cm de circusnferencia de tronco, la copa nace a los 2mts. E. 10 lts.
💰 $ 59.000
📏 con copa, 8-10 cm. E. 15 lts
💰 $ 72.000
📏 con copa, 10-12 cm. E. 20 lts
💰 $ 104.000
📏 con copa, 12-14 cm. E. 30 lts
💰 $ 121.000
🌱 Timbo (Enterolobium contortisiliquum).
💰 
📏 4lts 100-120cm
💰 $ 21.000
📏 10lts 120-150cm
💰 $ 45.000
📏 15lts 150-180cm
💰 $ 75.000
📏 20lts 180-210cm
💰 $ 99.000</v>
      </c>
    </row>
    <row r="185" spans="1:2" ht="120" customHeight="1" x14ac:dyDescent="0.25">
      <c r="A185" s="32" t="s">
        <v>768</v>
      </c>
      <c r="B185" s="32" t="str">
        <f>"🌱 TIPA (TIPUANA TIPU)"&amp;CHAR(10)&amp;""&amp;CHAR(10)&amp;""&amp;"🌱 "&amp;SUBSTITUTE(TRIM(Hoja1!A632),"  "," ")&amp;CHAR(10)&amp;"💰 "&amp;IFERROR(IF(Hoja1!D632="","",IF(MOD(Hoja1!D632,1)=0,DOLLAR(Hoja1!D632,0),DOLLAR(Hoja1!D632,2))),"")&amp;CHAR(10)&amp;CHAR(10)&amp;"📏 "&amp;SUBSTITUTE(TRIM(Hoja1!A633),"  "," ")&amp;CHAR(10)&amp;"💰 "&amp;IFERROR(IF(Hoja1!D633="","",IF(MOD(Hoja1!D633,1)=0,DOLLAR(Hoja1!D633,0),DOLLAR(Hoja1!D633,2))),"")</f>
        <v>🌱 TIPA (TIPUANA TIPU)
🌱 varillon E. 4 lts
💰 $ 18.000
📏 E. 10 lts 180-210cm
💰 $ 76.000</v>
      </c>
    </row>
    <row r="186" spans="1:2" ht="120" customHeight="1" x14ac:dyDescent="0.25">
      <c r="A186" s="32" t="s">
        <v>537</v>
      </c>
      <c r="B186" s="32" t="str">
        <f>"🌱 TULBAGHIA"&amp;CHAR(10)&amp;""&amp;CHAR(10)&amp;""&amp;"🌱 "&amp;SUBSTITUTE(TRIM(Hoja1!A635),"  "," ")&amp;CHAR(10)&amp;"💰 "&amp;IFERROR(IF(Hoja1!D635="","",IF(MOD(Hoja1!D635,1)=0,DOLLAR(Hoja1!D635,0),DOLLAR(Hoja1!D635,2))),"")&amp;CHAR(10)&amp;CHAR(10)&amp;"🌱 "&amp;SUBSTITUTE(TRIM(Hoja1!A636),"  "," ")&amp;CHAR(10)&amp;"💰 "&amp;IFERROR(IF(Hoja1!D636="","",IF(MOD(Hoja1!D636,1)=0,DOLLAR(Hoja1!D636,0),DOLLAR(Hoja1!D636,2))),"")&amp;IF(Hoja1!E636="","", " — "&amp;TRIM(Hoja1!E636))</f>
        <v>🌱 TULBAGHIA
🌱 E. 4 lts
💰 $ 8.900
🌱 OFERTA X 10 UNIDADES X 4LTS
💰 $ 8.500 — c/u</v>
      </c>
    </row>
    <row r="187" spans="1:2" ht="120" customHeight="1" x14ac:dyDescent="0.25">
      <c r="A187" t="s">
        <v>539</v>
      </c>
      <c r="B187" t="str">
        <f>"🌱 VERBENAS BONARENSIS"&amp;CHAR(10)&amp;""&amp;CHAR(10)&amp;""&amp;"🌱 "&amp;SUBSTITUTE(TRIM(Hoja1!A638),"  "," ")&amp;CHAR(10)&amp;"💰 "&amp;IFERROR(IF(Hoja1!D638="","",IF(MOD(Hoja1!D638,1)=0,DOLLAR(Hoja1!D638,0),DOLLAR(Hoja1!D638,2))),"")&amp;CHAR(10)&amp;CHAR(10)&amp;"🌱 "&amp;SUBSTITUTE(TRIM(Hoja1!A639),"  "," ")&amp;CHAR(10)&amp;"💰 "&amp;IFERROR(IF(Hoja1!D639="","",IF(MOD(Hoja1!D639,1)=0,DOLLAR(Hoja1!D639,0),DOLLAR(Hoja1!D639,2))),"")</f>
        <v>🌱 VERBENAS BONARENSIS
🌱 E. 4lts
💰 $ 8.900
🌱 OFERTA COMPRANDO 10 UNIDADES X 4LTS
💰 $ 8.500</v>
      </c>
    </row>
    <row r="188" spans="1:2" ht="120" customHeight="1" x14ac:dyDescent="0.25">
      <c r="A188" s="32" t="s">
        <v>769</v>
      </c>
      <c r="B188" s="32" t="str">
        <f>"🌱 VIBURNUM ODORATISSIMUM"&amp;CHAR(10)&amp;""&amp;CHAR(10)&amp;""&amp;"🌱 "&amp;SUBSTITUTE(TRIM(Hoja1!A641),"  "," ")&amp;CHAR(10)&amp;"💰 "&amp;IFERROR(IF(Hoja1!D641="","",IF(MOD(Hoja1!D641,1)=0,DOLLAR(Hoja1!D641,0),DOLLAR(Hoja1!D641,2))),"")&amp;CHAR(10)&amp;CHAR(10)&amp;"🌱 "&amp;SUBSTITUTE(TRIM(Hoja1!A642),"  "," ")&amp;CHAR(10)&amp;"💰 "&amp;IFERROR(IF(Hoja1!D642="","",IF(MOD(Hoja1!D642,1)=0,DOLLAR(Hoja1!D642,0),DOLLAR(Hoja1!D642,2))),"")&amp;CHAR(10)&amp;CHAR(10)&amp;"🌱 "&amp;SUBSTITUTE(TRIM(Hoja1!A643),"  "," ")&amp;CHAR(10)&amp;"💰 "&amp;IFERROR(IF(Hoja1!D643="","",IF(MOD(Hoja1!D643,1)=0,DOLLAR(Hoja1!D643,0),DOLLAR(Hoja1!D643,2))),"")&amp;CHAR(10)&amp;CHAR(10)&amp;"🌱 "&amp;SUBSTITUTE(TRIM(Hoja1!A644),"  "," ")&amp;CHAR(10)&amp;"💰 "&amp;IFERROR(IF(Hoja1!D644="","",IF(MOD(Hoja1!D644,1)=0,DOLLAR(Hoja1!D644,0),DOLLAR(Hoja1!D644,2))),"")&amp;CHAR(10)&amp;CHAR(10)&amp;"🌱 "&amp;SUBSTITUTE(TRIM(Hoja1!A645),"  "," ")&amp;CHAR(10)&amp;"💰 "&amp;IFERROR(IF(Hoja1!D645="","",IF(MOD(Hoja1!D645,1)=0,DOLLAR(Hoja1!D645,0),DOLLAR(Hoja1!D645,2))),"")</f>
        <v>🌱 VIBURNUM ODORATISSIMUM
🌱 E4lts
💰 $ 12.232
🌱 E 10lts
💰 $ 27.000
🌱 Viburnum suspensus
💰 
🌱 E. 4lts
💰 $ 12.232
🌱 E. 10lts
💰 $ 27.000</v>
      </c>
    </row>
    <row r="189" spans="1:2" ht="120" customHeight="1" x14ac:dyDescent="0.25">
      <c r="A189" s="32" t="s">
        <v>770</v>
      </c>
      <c r="B189" s="32" t="str">
        <f>"🌱 VIBURNUM TINUS (LAURENTINO)"&amp;CHAR(10)&amp;""&amp;CHAR(10)&amp;""&amp;"🌱 "&amp;SUBSTITUTE(TRIM(Hoja1!A647),"  "," ")&amp;CHAR(10)&amp;"💰 "&amp;IFERROR(IF(Hoja1!D647="","",IF(MOD(Hoja1!D647,1)=0,DOLLAR(Hoja1!D647,0),DOLLAR(Hoja1!D647,2))),"")&amp;CHAR(10)&amp;CHAR(10)&amp;"📏 "&amp;SUBSTITUTE(TRIM(Hoja1!A648),"  "," ")&amp;CHAR(10)&amp;"💰 "&amp;IFERROR(IF(Hoja1!D648="","",IF(MOD(Hoja1!D648,1)=0,DOLLAR(Hoja1!D648,0),DOLLAR(Hoja1!D648,2))),"")&amp;CHAR(10)&amp;CHAR(10)&amp;"📏 "&amp;SUBSTITUTE(TRIM(Hoja1!A649),"  "," ")&amp;CHAR(10)&amp;"💰 "&amp;IFERROR(IF(Hoja1!D649="","",IF(MOD(Hoja1!D649,1)=0,DOLLAR(Hoja1!D649,0),DOLLAR(Hoja1!D649,2))),"")&amp;CHAR(10)&amp;CHAR(10)&amp;"📏 "&amp;SUBSTITUTE(TRIM(Hoja1!A650),"  "," ")&amp;CHAR(10)&amp;"💰 "&amp;IFERROR(IF(Hoja1!D650="","",IF(MOD(Hoja1!D650,1)=0,DOLLAR(Hoja1!D650,0),DOLLAR(Hoja1!D650,2))),"")</f>
        <v>🌱 VIBURNUM TINUS (LAURENTINO)
🌱 E. 4 lts
💰 $ 12.232
📏 E. 10 lts 80cm
💰 $ 27.000
📏 E. 15 lts 120cm
💰 $ 36.500
📏 E. 20 lts 130-140cm
💰 $ 49.000</v>
      </c>
    </row>
    <row r="190" spans="1:2" ht="120" customHeight="1" x14ac:dyDescent="0.25">
      <c r="A190" s="32" t="s">
        <v>771</v>
      </c>
      <c r="B190" s="32" t="str">
        <f>"🌱 VIBURNUM TINUS COMPACTO (LAURENTINO ENANO)"&amp;CHAR(10)&amp;""&amp;CHAR(10)&amp;""&amp;"🌱 "&amp;SUBSTITUTE(TRIM(Hoja1!A652),"  "," ")&amp;CHAR(10)&amp;"💰 "&amp;IFERROR(IF(Hoja1!D652="","",IF(MOD(Hoja1!D652,1)=0,DOLLAR(Hoja1!D652,0),DOLLAR(Hoja1!D652,2))),"")&amp;CHAR(10)&amp;CHAR(10)&amp;"🌱 "&amp;SUBSTITUTE(TRIM(Hoja1!A653),"  "," ")&amp;CHAR(10)&amp;"💰 "&amp;IFERROR(IF(Hoja1!D653="","",IF(MOD(Hoja1!D653,1)=0,DOLLAR(Hoja1!D653,0),DOLLAR(Hoja1!D653,2))),"")</f>
        <v>🌱 VIBURNUM TINUS COMPACTO (LAURENTINO ENANO)
🌱 E. 4 lts
💰 $ 12.232
🌱 E. 10 lts.
💰 $ 27.000</v>
      </c>
    </row>
    <row r="191" spans="1:2" ht="120" customHeight="1" x14ac:dyDescent="0.25">
      <c r="A191" s="32" t="s">
        <v>772</v>
      </c>
      <c r="B191" s="32" t="str">
        <f>"🌱 VINCA MAJOR"&amp;CHAR(10)&amp;""&amp;CHAR(10)&amp;""&amp;"🌱 "&amp;SUBSTITUTE(TRIM(Hoja1!A655),"  "," ")&amp;CHAR(10)&amp;"💰 "&amp;IFERROR(IF(Hoja1!D655="","",IF(MOD(Hoja1!D655,1)=0,DOLLAR(Hoja1!D655,0),DOLLAR(Hoja1!D655,2))),"")&amp;IF(Hoja1!E655="","", " — "&amp;TRIM(Hoja1!E655))</f>
        <v>🌱 VINCA MAJOR
🌱 4lts
💰 $ 8.900 — s/stock</v>
      </c>
    </row>
    <row r="192" spans="1:2" ht="120" customHeight="1" x14ac:dyDescent="0.25">
      <c r="A192" s="32" t="s">
        <v>773</v>
      </c>
      <c r="B192" s="32" t="str">
        <f>"🌱 VINCA MAJOR VARIEGATA"&amp;CHAR(10)&amp;""&amp;CHAR(10)&amp;""&amp;"🌱 "&amp;SUBSTITUTE(TRIM(Hoja1!A657),"  "," ")&amp;CHAR(10)&amp;"💰 "&amp;IFERROR(IF(Hoja1!D657="","",IF(MOD(Hoja1!D657,1)=0,DOLLAR(Hoja1!D657,0),DOLLAR(Hoja1!D657,2))),"")&amp;IF(Hoja1!E657="","", " — "&amp;TRIM(Hoja1!E657))</f>
        <v>🌱 VINCA MAJOR VARIEGATA
🌱 4 lts
💰 $ 8.900 — s/stock</v>
      </c>
    </row>
    <row r="193" spans="1:2" ht="120" customHeight="1" x14ac:dyDescent="0.25">
      <c r="A193" s="32" t="s">
        <v>554</v>
      </c>
      <c r="B193" s="32" t="str">
        <f>"🌱 WESTRINGIA FRUTICOSA"&amp;CHAR(10)&amp;""&amp;CHAR(10)&amp;""&amp;"🌱 "&amp;SUBSTITUTE(TRIM(Hoja1!A659),"  "," ")&amp;CHAR(10)&amp;"💰 "&amp;IFERROR(IF(Hoja1!D659="","",IF(MOD(Hoja1!D659,1)=0,DOLLAR(Hoja1!D659,0),DOLLAR(Hoja1!D659,2))),"")&amp;CHAR(10)&amp;CHAR(10)&amp;"🌱 "&amp;SUBSTITUTE(TRIM(Hoja1!A660),"  "," ")&amp;CHAR(10)&amp;"💰 "&amp;IFERROR(IF(Hoja1!D660="","",IF(MOD(Hoja1!D660,1)=0,DOLLAR(Hoja1!D660,0),DOLLAR(Hoja1!D660,2))),"")&amp;CHAR(10)&amp;CHAR(10)&amp;"🌱 "&amp;SUBSTITUTE(TRIM(Hoja1!A661),"  "," ")&amp;CHAR(10)&amp;"💰 "&amp;IFERROR(IF(Hoja1!D661="","",IF(MOD(Hoja1!D661,1)=0,DOLLAR(Hoja1!D661,0),DOLLAR(Hoja1!D661,2))),"")&amp;CHAR(10)&amp;CHAR(10)&amp;"🌱 "&amp;SUBSTITUTE(TRIM(Hoja1!A662),"  "," ")&amp;CHAR(10)&amp;"💰 "&amp;IFERROR(IF(Hoja1!D662="","",IF(MOD(Hoja1!D662,1)=0,DOLLAR(Hoja1!D662,0),DOLLAR(Hoja1!D662,2))),"")</f>
        <v>🌱 WESTRINGIA FRUTICOSA
🌱 E. 4lts
💰 $ 12.232
🌱 Yucca verde
💰 $ 0
🌱 E. 4 lts.
💰 $ 12.323
🌱 E. 10lts
💰 $ 27.000</v>
      </c>
    </row>
    <row r="194" spans="1:2" ht="60" x14ac:dyDescent="0.25">
      <c r="A194" s="32" t="s">
        <v>774</v>
      </c>
      <c r="B194" s="32" t="str">
        <f>"🌱 ZEPHYRANTHES FLOR BLANCA"&amp;CHAR(10)&amp;""&amp;CHAR(10)&amp;""&amp;"🌱 "&amp;SUBSTITUTE(TRIM(Hoja1!A664),"  "," ")&amp;CHAR(10)&amp;"💰 "&amp;IFERROR(IF(Hoja1!D664="","",IF(MOD(Hoja1!D664,1)=0,DOLLAR(Hoja1!D664,0),DOLLAR(Hoja1!D664,2))),"")</f>
        <v>🌱 ZEPHYRANTHES FLOR BLANCA
🌱 E. 4lts
💰 $ 8.900</v>
      </c>
    </row>
    <row r="195" spans="1:2" x14ac:dyDescent="0.25">
      <c r="A195" s="32" t="s">
        <v>559</v>
      </c>
      <c r="B195" s="3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WHATSAPP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2026-08-04T20:49:28Z</dcterms:created>
  <dcterms:modified xsi:type="dcterms:W3CDTF">2026-08-25T18:35:26Z</dcterms:modified>
</cp:coreProperties>
</file>